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755" yWindow="-15" windowWidth="10800" windowHeight="10890"/>
  </bookViews>
  <sheets>
    <sheet name="TOC" sheetId="10" r:id="rId1"/>
    <sheet name="1" sheetId="26" r:id="rId2"/>
    <sheet name="2" sheetId="27" r:id="rId3"/>
    <sheet name="3_A" sheetId="28" r:id="rId4"/>
    <sheet name="612" sheetId="35" state="hidden" r:id="rId5"/>
    <sheet name="3_Б" sheetId="30" r:id="rId6"/>
    <sheet name="3_В" sheetId="31" r:id="rId7"/>
    <sheet name="4_A" sheetId="20" r:id="rId8"/>
    <sheet name="4_Б" sheetId="21" r:id="rId9"/>
    <sheet name="нерег.дейн.и Нмда" sheetId="39" r:id="rId10"/>
    <sheet name="4_B" sheetId="22" r:id="rId11"/>
    <sheet name="4_Г" sheetId="23" r:id="rId12"/>
    <sheet name="4_Д" sheetId="24" r:id="rId13"/>
    <sheet name="4-Е" sheetId="15" r:id="rId14"/>
    <sheet name="5" sheetId="33" r:id="rId15"/>
    <sheet name="6" sheetId="32" r:id="rId16"/>
    <sheet name="7" sheetId="34" r:id="rId17"/>
    <sheet name="8" sheetId="14" r:id="rId18"/>
  </sheets>
  <definedNames>
    <definedName name="_xlnm.Print_Area" localSheetId="1">'1'!$A$1:$J$124</definedName>
    <definedName name="_xlnm.Print_Area" localSheetId="2">'2'!$A$1:$J$88</definedName>
    <definedName name="_xlnm.Print_Area" localSheetId="3">'3_A'!$A$1:$E$33</definedName>
    <definedName name="_xlnm.Print_Area" localSheetId="5">'3_Б'!$A$1:$E$83</definedName>
    <definedName name="_xlnm.Print_Area" localSheetId="6">'3_В'!$A$1:$E$81</definedName>
    <definedName name="_xlnm.Print_Area" localSheetId="7">'4_A'!$A$1:$F$52</definedName>
    <definedName name="_xlnm.Print_Area" localSheetId="10">'4_B'!$A$1:$E$36</definedName>
    <definedName name="_xlnm.Print_Area" localSheetId="8">'4_Б'!$A$1:$E$38</definedName>
    <definedName name="_xlnm.Print_Area" localSheetId="11">'4_Г'!$A$1:$C$38</definedName>
    <definedName name="_xlnm.Print_Area" localSheetId="12">'4_Д'!$A$1:$C$34</definedName>
    <definedName name="_xlnm.Print_Area" localSheetId="13">'4-Е'!$A$1:$F$27</definedName>
    <definedName name="_xlnm.Print_Area" localSheetId="14">'5'!$A$1:$F$42</definedName>
    <definedName name="_xlnm.Print_Area" localSheetId="15">'6'!$A$1:$L$34</definedName>
    <definedName name="_xlnm.Print_Area" localSheetId="16">'7'!$A$1:$F$31</definedName>
    <definedName name="_xlnm.Print_Area" localSheetId="17">'8'!$A$1:$E$34</definedName>
    <definedName name="_xlnm.Print_Area" localSheetId="0">TOC!$A$1:$C$18</definedName>
    <definedName name="_xlnm.Print_Area" localSheetId="9">'нерег.дейн.и Нмда'!$A$1:$E$38</definedName>
  </definedNames>
  <calcPr calcId="125725"/>
</workbook>
</file>

<file path=xl/calcChain.xml><?xml version="1.0" encoding="utf-8"?>
<calcChain xmlns="http://schemas.openxmlformats.org/spreadsheetml/2006/main">
  <c r="C23" i="34"/>
  <c r="F23"/>
  <c r="F21"/>
  <c r="L86" i="26"/>
  <c r="K18"/>
  <c r="C19"/>
  <c r="C20"/>
  <c r="K28"/>
  <c r="C21"/>
  <c r="C18"/>
  <c r="I18"/>
  <c r="E17"/>
  <c r="C13" i="23"/>
  <c r="H14" i="24"/>
  <c r="H16" s="1"/>
  <c r="D13" i="22"/>
  <c r="E13" s="1"/>
  <c r="C13"/>
  <c r="E17"/>
  <c r="D18"/>
  <c r="E18" s="1"/>
  <c r="C18"/>
  <c r="C26"/>
  <c r="C27"/>
  <c r="E27" i="39"/>
  <c r="D27"/>
  <c r="C27"/>
  <c r="D26"/>
  <c r="E26"/>
  <c r="C26"/>
  <c r="D17"/>
  <c r="C17"/>
  <c r="C25"/>
  <c r="E25"/>
  <c r="D25"/>
  <c r="D16"/>
  <c r="C16"/>
  <c r="D12"/>
  <c r="C12"/>
  <c r="D11"/>
  <c r="C11"/>
  <c r="D12" i="21" l="1"/>
  <c r="C12"/>
  <c r="C13"/>
  <c r="D14"/>
  <c r="C14"/>
  <c r="D13"/>
  <c r="D11"/>
  <c r="C11"/>
  <c r="C26"/>
  <c r="E14" i="20" l="1"/>
  <c r="E26"/>
  <c r="C13" i="24"/>
  <c r="C12" i="23"/>
  <c r="E22" i="22" l="1"/>
  <c r="E23"/>
  <c r="E24"/>
  <c r="E25"/>
  <c r="E12" i="39"/>
  <c r="E13"/>
  <c r="E14"/>
  <c r="E15"/>
  <c r="E11"/>
  <c r="E23" i="21" l="1"/>
  <c r="E24"/>
  <c r="E25"/>
  <c r="C17" i="26"/>
  <c r="D109"/>
  <c r="C109"/>
  <c r="K116"/>
  <c r="D19"/>
  <c r="J18"/>
  <c r="D45"/>
  <c r="H48"/>
  <c r="G48"/>
  <c r="C45"/>
  <c r="L75" i="27" l="1"/>
  <c r="G64"/>
  <c r="L76"/>
  <c r="M37"/>
  <c r="C19"/>
  <c r="C23" s="1"/>
  <c r="G19"/>
  <c r="G15"/>
  <c r="C15"/>
  <c r="D96" i="30"/>
  <c r="J67" i="27" l="1"/>
  <c r="H95" i="30"/>
  <c r="E11" i="20" l="1"/>
  <c r="D11"/>
  <c r="D14"/>
  <c r="E17" i="15" l="1"/>
  <c r="D68" i="31"/>
  <c r="D39" i="30"/>
  <c r="D17"/>
  <c r="C66" i="27"/>
  <c r="I66" s="1"/>
  <c r="D26" i="32"/>
  <c r="D92" i="30"/>
  <c r="A46"/>
  <c r="A44"/>
  <c r="D26" i="20"/>
  <c r="D16" i="33"/>
  <c r="E14" i="32"/>
  <c r="H14"/>
  <c r="D28"/>
  <c r="D30"/>
  <c r="J22"/>
  <c r="J16"/>
  <c r="G22"/>
  <c r="G16"/>
  <c r="D22"/>
  <c r="D16"/>
  <c r="E16"/>
  <c r="E22"/>
  <c r="C61" i="27" s="1"/>
  <c r="I61" s="1"/>
  <c r="E15" i="33"/>
  <c r="E16"/>
  <c r="F40" i="26"/>
  <c r="D40" s="1"/>
  <c r="I86"/>
  <c r="D33"/>
  <c r="E33"/>
  <c r="F33"/>
  <c r="G33"/>
  <c r="H33"/>
  <c r="C33"/>
  <c r="I19"/>
  <c r="C62" i="27"/>
  <c r="I62" s="1"/>
  <c r="E68"/>
  <c r="D60"/>
  <c r="J60" s="1"/>
  <c r="D62"/>
  <c r="I45"/>
  <c r="I46"/>
  <c r="E12" i="22"/>
  <c r="E15"/>
  <c r="E16"/>
  <c r="I21" i="26"/>
  <c r="K21" s="1"/>
  <c r="E21" i="22"/>
  <c r="D45" i="30"/>
  <c r="C60" i="27"/>
  <c r="C70"/>
  <c r="C74"/>
  <c r="C35"/>
  <c r="C29"/>
  <c r="D10" i="30"/>
  <c r="D50"/>
  <c r="D87"/>
  <c r="D57"/>
  <c r="D88" s="1"/>
  <c r="D89"/>
  <c r="C16" i="27"/>
  <c r="D90" i="30"/>
  <c r="C17" i="27"/>
  <c r="D91" i="30"/>
  <c r="C18" i="27"/>
  <c r="D31" i="30"/>
  <c r="D71"/>
  <c r="D76"/>
  <c r="D13" i="28"/>
  <c r="I31" i="27"/>
  <c r="I33"/>
  <c r="I34"/>
  <c r="I32"/>
  <c r="I27"/>
  <c r="I26"/>
  <c r="I28"/>
  <c r="D33" i="31"/>
  <c r="D92"/>
  <c r="D18"/>
  <c r="D54"/>
  <c r="D87"/>
  <c r="E88" i="30" s="1"/>
  <c r="E15" i="27" s="1"/>
  <c r="D91" i="31"/>
  <c r="E92" i="30" s="1"/>
  <c r="G14" i="27"/>
  <c r="D10" i="31"/>
  <c r="D86" s="1"/>
  <c r="D40"/>
  <c r="D47"/>
  <c r="G16" i="27"/>
  <c r="D88" i="31"/>
  <c r="E16" i="27" s="1"/>
  <c r="G17"/>
  <c r="D89" i="31"/>
  <c r="E17" i="27"/>
  <c r="G18"/>
  <c r="D90" i="31"/>
  <c r="E18" i="27" s="1"/>
  <c r="E28" i="32"/>
  <c r="E30" s="1"/>
  <c r="E38"/>
  <c r="D38"/>
  <c r="D61" i="27"/>
  <c r="F70"/>
  <c r="D39" i="31"/>
  <c r="D9"/>
  <c r="D96" i="26"/>
  <c r="K16" i="32"/>
  <c r="D15" i="33"/>
  <c r="D93" i="26"/>
  <c r="J93" s="1"/>
  <c r="J94" s="1"/>
  <c r="J97" s="1"/>
  <c r="C93"/>
  <c r="C96"/>
  <c r="I96" s="1"/>
  <c r="G70" i="27"/>
  <c r="G74"/>
  <c r="G29"/>
  <c r="G35"/>
  <c r="E70"/>
  <c r="E74"/>
  <c r="E75"/>
  <c r="E35"/>
  <c r="E29"/>
  <c r="I83" i="26"/>
  <c r="C110"/>
  <c r="G110"/>
  <c r="I110"/>
  <c r="I113" s="1"/>
  <c r="C112"/>
  <c r="I112"/>
  <c r="C58"/>
  <c r="I58" s="1"/>
  <c r="I45"/>
  <c r="I46"/>
  <c r="I44"/>
  <c r="I47"/>
  <c r="I49"/>
  <c r="E19" i="15"/>
  <c r="E40" i="26"/>
  <c r="C40"/>
  <c r="C42" s="1"/>
  <c r="C59" s="1"/>
  <c r="I38"/>
  <c r="I39"/>
  <c r="I41"/>
  <c r="I54"/>
  <c r="I55"/>
  <c r="I56"/>
  <c r="I52"/>
  <c r="I34"/>
  <c r="I35"/>
  <c r="I17"/>
  <c r="K17" s="1"/>
  <c r="I16"/>
  <c r="K16" s="1"/>
  <c r="I23"/>
  <c r="K23" s="1"/>
  <c r="C29"/>
  <c r="E29"/>
  <c r="G29"/>
  <c r="I33"/>
  <c r="I30"/>
  <c r="I31"/>
  <c r="F28" i="20"/>
  <c r="F13"/>
  <c r="F11"/>
  <c r="E15" i="21"/>
  <c r="E12"/>
  <c r="E13"/>
  <c r="E11"/>
  <c r="C26" i="24"/>
  <c r="C26" i="23"/>
  <c r="C18"/>
  <c r="C27" s="1"/>
  <c r="E11" i="22"/>
  <c r="F18" i="34"/>
  <c r="F42" i="26"/>
  <c r="F56"/>
  <c r="F59"/>
  <c r="F24"/>
  <c r="F50"/>
  <c r="F29"/>
  <c r="F36"/>
  <c r="G24"/>
  <c r="G56"/>
  <c r="G42"/>
  <c r="H50"/>
  <c r="H56"/>
  <c r="H59"/>
  <c r="H42"/>
  <c r="H24"/>
  <c r="H29"/>
  <c r="E21" i="21"/>
  <c r="E22"/>
  <c r="E14"/>
  <c r="E16"/>
  <c r="D26"/>
  <c r="J48" i="26"/>
  <c r="J45"/>
  <c r="J46"/>
  <c r="J47"/>
  <c r="J44"/>
  <c r="J49"/>
  <c r="J38"/>
  <c r="J39"/>
  <c r="J41"/>
  <c r="J54"/>
  <c r="J55"/>
  <c r="J56"/>
  <c r="D58"/>
  <c r="J58"/>
  <c r="J52"/>
  <c r="J16"/>
  <c r="J17"/>
  <c r="J19"/>
  <c r="J20"/>
  <c r="J21"/>
  <c r="J22"/>
  <c r="J23"/>
  <c r="D29"/>
  <c r="J29" s="1"/>
  <c r="J34"/>
  <c r="J35"/>
  <c r="J24"/>
  <c r="J33"/>
  <c r="J30"/>
  <c r="J31"/>
  <c r="J95"/>
  <c r="J96"/>
  <c r="H94" i="30"/>
  <c r="H96" s="1"/>
  <c r="I64" i="27"/>
  <c r="I63"/>
  <c r="I69"/>
  <c r="I70" s="1"/>
  <c r="I72"/>
  <c r="I73"/>
  <c r="H70"/>
  <c r="D70"/>
  <c r="J62"/>
  <c r="J63"/>
  <c r="J65"/>
  <c r="J64"/>
  <c r="J66"/>
  <c r="J72"/>
  <c r="J73"/>
  <c r="H22" i="32"/>
  <c r="C18" i="24"/>
  <c r="C27" s="1"/>
  <c r="F94" i="30"/>
  <c r="I78" i="27"/>
  <c r="D35" i="26"/>
  <c r="C35"/>
  <c r="D73" i="31"/>
  <c r="D19" i="28" s="1"/>
  <c r="E16" i="39"/>
  <c r="E17"/>
  <c r="C18"/>
  <c r="D18"/>
  <c r="E17" i="21"/>
  <c r="C18"/>
  <c r="C27" s="1"/>
  <c r="D18"/>
  <c r="E10"/>
  <c r="F23" i="20"/>
  <c r="F24"/>
  <c r="F25"/>
  <c r="F22"/>
  <c r="F15"/>
  <c r="F17"/>
  <c r="J15" i="27"/>
  <c r="J14"/>
  <c r="J16"/>
  <c r="J17"/>
  <c r="J18"/>
  <c r="J19"/>
  <c r="J24" s="1"/>
  <c r="D24"/>
  <c r="F24"/>
  <c r="H24"/>
  <c r="G23"/>
  <c r="I20"/>
  <c r="I21"/>
  <c r="I22"/>
  <c r="D74"/>
  <c r="F68"/>
  <c r="F74"/>
  <c r="H68"/>
  <c r="H74"/>
  <c r="H75" s="1"/>
  <c r="J78"/>
  <c r="H35"/>
  <c r="H29"/>
  <c r="F35"/>
  <c r="F29"/>
  <c r="D35"/>
  <c r="D37" s="1"/>
  <c r="D29"/>
  <c r="J31"/>
  <c r="J32"/>
  <c r="J33"/>
  <c r="J34"/>
  <c r="J26"/>
  <c r="J27"/>
  <c r="N37"/>
  <c r="J28"/>
  <c r="J71"/>
  <c r="D23" i="32"/>
  <c r="E23"/>
  <c r="F14"/>
  <c r="F12"/>
  <c r="F13"/>
  <c r="F15"/>
  <c r="F18"/>
  <c r="F19"/>
  <c r="F20"/>
  <c r="F21"/>
  <c r="G23"/>
  <c r="H16"/>
  <c r="H23"/>
  <c r="I12"/>
  <c r="I13"/>
  <c r="I14"/>
  <c r="I15"/>
  <c r="I18"/>
  <c r="I19"/>
  <c r="I20"/>
  <c r="I21"/>
  <c r="I22"/>
  <c r="J23"/>
  <c r="K22"/>
  <c r="K23" s="1"/>
  <c r="L12"/>
  <c r="L13"/>
  <c r="L16" s="1"/>
  <c r="L14"/>
  <c r="L15"/>
  <c r="L18"/>
  <c r="L19"/>
  <c r="L20"/>
  <c r="L21"/>
  <c r="D35" i="20"/>
  <c r="D24" i="26"/>
  <c r="D36" s="1"/>
  <c r="D19" i="15"/>
  <c r="F17"/>
  <c r="F10"/>
  <c r="F11"/>
  <c r="F12"/>
  <c r="F13"/>
  <c r="F14"/>
  <c r="F15"/>
  <c r="F16"/>
  <c r="D26" i="22"/>
  <c r="J47" i="27"/>
  <c r="D112" i="26"/>
  <c r="D110"/>
  <c r="H110"/>
  <c r="J110"/>
  <c r="J113" s="1"/>
  <c r="J112"/>
  <c r="J87"/>
  <c r="J83"/>
  <c r="J88"/>
  <c r="D13" i="33" s="1"/>
  <c r="E94" i="26"/>
  <c r="F94"/>
  <c r="G94"/>
  <c r="H94"/>
  <c r="A66" i="27"/>
  <c r="A67"/>
  <c r="A68" s="1"/>
  <c r="A69" s="1"/>
  <c r="A70" s="1"/>
  <c r="A71" s="1"/>
  <c r="A72" s="1"/>
  <c r="A73" s="1"/>
  <c r="A74" s="1"/>
  <c r="A75" s="1"/>
  <c r="A77" s="1"/>
  <c r="A78" s="1"/>
  <c r="A79" s="1"/>
  <c r="A81" s="1"/>
  <c r="A83" s="1"/>
  <c r="J69"/>
  <c r="A60"/>
  <c r="J48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7" s="1"/>
  <c r="A39" s="1"/>
  <c r="A40" s="1"/>
  <c r="A41" s="1"/>
  <c r="A42" s="1"/>
  <c r="A44" s="1"/>
  <c r="A45" s="1"/>
  <c r="A46" s="1"/>
  <c r="A47" s="1"/>
  <c r="A48" s="1"/>
  <c r="I47"/>
  <c r="J20"/>
  <c r="J21"/>
  <c r="J22"/>
  <c r="J23"/>
  <c r="J25"/>
  <c r="I25"/>
  <c r="J27" i="26"/>
  <c r="E12" i="33"/>
  <c r="I111" i="26"/>
  <c r="D12" i="33"/>
  <c r="F12" s="1"/>
  <c r="F15"/>
  <c r="F16"/>
  <c r="L17" i="32"/>
  <c r="I17"/>
  <c r="F27"/>
  <c r="F26"/>
  <c r="F17"/>
  <c r="F18" i="33"/>
  <c r="F17"/>
  <c r="D9" i="30"/>
  <c r="E26" i="22"/>
  <c r="D113" i="26"/>
  <c r="C113"/>
  <c r="E113"/>
  <c r="F113"/>
  <c r="G113"/>
  <c r="H113"/>
  <c r="J111"/>
  <c r="J102"/>
  <c r="J103"/>
  <c r="J104"/>
  <c r="J105"/>
  <c r="J106"/>
  <c r="J107"/>
  <c r="J108"/>
  <c r="J109"/>
  <c r="J101"/>
  <c r="I102"/>
  <c r="I103"/>
  <c r="I104"/>
  <c r="I105"/>
  <c r="I106"/>
  <c r="I107"/>
  <c r="I108"/>
  <c r="I109"/>
  <c r="I101"/>
  <c r="I95"/>
  <c r="D56"/>
  <c r="D50"/>
  <c r="E56"/>
  <c r="E50"/>
  <c r="E42"/>
  <c r="C56"/>
  <c r="I57"/>
  <c r="J57"/>
  <c r="J32"/>
  <c r="J37"/>
  <c r="J43"/>
  <c r="J51"/>
  <c r="J53"/>
  <c r="J60"/>
  <c r="J62"/>
  <c r="J63"/>
  <c r="I32"/>
  <c r="I37"/>
  <c r="I43"/>
  <c r="I51"/>
  <c r="I53"/>
  <c r="I60"/>
  <c r="I62"/>
  <c r="I63"/>
  <c r="J28"/>
  <c r="I27"/>
  <c r="I28"/>
  <c r="I26"/>
  <c r="A100"/>
  <c r="A101"/>
  <c r="A102"/>
  <c r="A103"/>
  <c r="A104"/>
  <c r="A105"/>
  <c r="A106"/>
  <c r="A107"/>
  <c r="A108"/>
  <c r="A109"/>
  <c r="A110"/>
  <c r="A111"/>
  <c r="A112"/>
  <c r="A113"/>
  <c r="A82"/>
  <c r="A83"/>
  <c r="A84"/>
  <c r="A85"/>
  <c r="A86"/>
  <c r="A87"/>
  <c r="A88"/>
  <c r="A90"/>
  <c r="A91"/>
  <c r="A92"/>
  <c r="A93"/>
  <c r="A94"/>
  <c r="A95"/>
  <c r="A96"/>
  <c r="A97"/>
  <c r="A28"/>
  <c r="A29"/>
  <c r="A30"/>
  <c r="A31"/>
  <c r="A32"/>
  <c r="A33"/>
  <c r="A34"/>
  <c r="A35"/>
  <c r="A36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1"/>
  <c r="A63"/>
  <c r="A24"/>
  <c r="A25"/>
  <c r="A26"/>
  <c r="A21"/>
  <c r="A51" i="30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7"/>
  <c r="K31" i="35"/>
  <c r="A48" i="31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D27" i="22"/>
  <c r="K21" i="35"/>
  <c r="K22"/>
  <c r="K30"/>
  <c r="K47"/>
  <c r="K4"/>
  <c r="K5"/>
  <c r="K6"/>
  <c r="K7"/>
  <c r="K8"/>
  <c r="K15"/>
  <c r="Y15"/>
  <c r="AC15"/>
  <c r="AD15"/>
  <c r="Y7"/>
  <c r="AC7"/>
  <c r="AD7"/>
  <c r="Y5"/>
  <c r="AD5"/>
  <c r="AC5"/>
  <c r="K9"/>
  <c r="Y9"/>
  <c r="AC9"/>
  <c r="AD9"/>
  <c r="K10"/>
  <c r="Y10"/>
  <c r="AC10"/>
  <c r="AD10"/>
  <c r="K11"/>
  <c r="Y11"/>
  <c r="AC11"/>
  <c r="AD11"/>
  <c r="Y6"/>
  <c r="AC6"/>
  <c r="AD6"/>
  <c r="Y8"/>
  <c r="AC8"/>
  <c r="AD8"/>
  <c r="Y4"/>
  <c r="AC4"/>
  <c r="AD4"/>
  <c r="AC12"/>
  <c r="K12"/>
  <c r="Y12"/>
  <c r="AD12"/>
  <c r="AC13"/>
  <c r="K13"/>
  <c r="Y13"/>
  <c r="AD13"/>
  <c r="AC14"/>
  <c r="K14"/>
  <c r="Y14"/>
  <c r="AD14"/>
  <c r="D16"/>
  <c r="E16"/>
  <c r="F16"/>
  <c r="G16"/>
  <c r="H16"/>
  <c r="K16"/>
  <c r="I16"/>
  <c r="J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K17"/>
  <c r="Y17"/>
  <c r="AC17"/>
  <c r="AD17"/>
  <c r="K18"/>
  <c r="Y18"/>
  <c r="AC18"/>
  <c r="AD18"/>
  <c r="K19"/>
  <c r="Y19"/>
  <c r="AC19"/>
  <c r="AD19"/>
  <c r="K20"/>
  <c r="AD20"/>
  <c r="Y21"/>
  <c r="AC21"/>
  <c r="AD21"/>
  <c r="Y22"/>
  <c r="AC22"/>
  <c r="AD22"/>
  <c r="K23"/>
  <c r="Y23"/>
  <c r="AC23"/>
  <c r="AD23"/>
  <c r="K24"/>
  <c r="Y24"/>
  <c r="AC24"/>
  <c r="AD24"/>
  <c r="D25"/>
  <c r="E25"/>
  <c r="F25"/>
  <c r="G25"/>
  <c r="H25"/>
  <c r="K25"/>
  <c r="AD25"/>
  <c r="I25"/>
  <c r="J25"/>
  <c r="L25"/>
  <c r="M25"/>
  <c r="N25"/>
  <c r="O25"/>
  <c r="P25"/>
  <c r="Y25"/>
  <c r="Q25"/>
  <c r="R25"/>
  <c r="S25"/>
  <c r="T25"/>
  <c r="U25"/>
  <c r="V25"/>
  <c r="W25"/>
  <c r="X25"/>
  <c r="Z25"/>
  <c r="AA25"/>
  <c r="AB25"/>
  <c r="AC25"/>
  <c r="K26"/>
  <c r="Y26"/>
  <c r="AC26"/>
  <c r="AD26"/>
  <c r="K27"/>
  <c r="Y27"/>
  <c r="AC27"/>
  <c r="AD27"/>
  <c r="K28"/>
  <c r="Y28"/>
  <c r="AC28"/>
  <c r="AD28"/>
  <c r="K29"/>
  <c r="Y29"/>
  <c r="AC29"/>
  <c r="AD29"/>
  <c r="Y30"/>
  <c r="AC30"/>
  <c r="AD30"/>
  <c r="Y31"/>
  <c r="AC31"/>
  <c r="AD31"/>
  <c r="K32"/>
  <c r="Y32"/>
  <c r="Z32"/>
  <c r="K33"/>
  <c r="AD33"/>
  <c r="Y33"/>
  <c r="AC33"/>
  <c r="K34"/>
  <c r="AD34"/>
  <c r="Y34"/>
  <c r="AC34"/>
  <c r="L35"/>
  <c r="Y35"/>
  <c r="M35"/>
  <c r="N35"/>
  <c r="O35"/>
  <c r="P35"/>
  <c r="Q35"/>
  <c r="R35"/>
  <c r="S35"/>
  <c r="T35"/>
  <c r="U35"/>
  <c r="V35"/>
  <c r="W35"/>
  <c r="X35"/>
  <c r="D35"/>
  <c r="K35"/>
  <c r="E35"/>
  <c r="F35"/>
  <c r="G35"/>
  <c r="H35"/>
  <c r="I35"/>
  <c r="J35"/>
  <c r="AA35"/>
  <c r="AB35"/>
  <c r="K36"/>
  <c r="AD36"/>
  <c r="Y36"/>
  <c r="AC36"/>
  <c r="K37"/>
  <c r="AD37"/>
  <c r="Y37"/>
  <c r="AC37"/>
  <c r="K38"/>
  <c r="AD38"/>
  <c r="Y38"/>
  <c r="AC38"/>
  <c r="K39"/>
  <c r="AD39"/>
  <c r="Y39"/>
  <c r="AC39"/>
  <c r="K40"/>
  <c r="AD40"/>
  <c r="Y40"/>
  <c r="AC40"/>
  <c r="D41"/>
  <c r="K41"/>
  <c r="AD41"/>
  <c r="Y41"/>
  <c r="AC41"/>
  <c r="K42"/>
  <c r="Y42"/>
  <c r="AC42"/>
  <c r="K43"/>
  <c r="Y43"/>
  <c r="AC43"/>
  <c r="K44"/>
  <c r="Y44"/>
  <c r="AC44"/>
  <c r="K45"/>
  <c r="Y45"/>
  <c r="AC45"/>
  <c r="K46"/>
  <c r="AD46"/>
  <c r="Y46"/>
  <c r="AC46"/>
  <c r="Y47"/>
  <c r="AC47"/>
  <c r="AD47"/>
  <c r="L48"/>
  <c r="M48"/>
  <c r="N48"/>
  <c r="Y48"/>
  <c r="O48"/>
  <c r="P48"/>
  <c r="Q48"/>
  <c r="R48"/>
  <c r="S48"/>
  <c r="T48"/>
  <c r="U48"/>
  <c r="V48"/>
  <c r="W48"/>
  <c r="X48"/>
  <c r="D48"/>
  <c r="E48"/>
  <c r="F48"/>
  <c r="G48"/>
  <c r="K48"/>
  <c r="H48"/>
  <c r="I48"/>
  <c r="J48"/>
  <c r="Z48"/>
  <c r="AC48"/>
  <c r="AA48"/>
  <c r="AB48"/>
  <c r="K49"/>
  <c r="Y49"/>
  <c r="AC49"/>
  <c r="AD49"/>
  <c r="K50"/>
  <c r="Y50"/>
  <c r="AC50"/>
  <c r="AD50"/>
  <c r="K51"/>
  <c r="Y51"/>
  <c r="AC51"/>
  <c r="AD51"/>
  <c r="D52"/>
  <c r="E52"/>
  <c r="E53"/>
  <c r="E61"/>
  <c r="F52"/>
  <c r="K52"/>
  <c r="G52"/>
  <c r="G53"/>
  <c r="G61"/>
  <c r="H52"/>
  <c r="I52"/>
  <c r="I53"/>
  <c r="I61"/>
  <c r="J52"/>
  <c r="L52"/>
  <c r="M52"/>
  <c r="M53"/>
  <c r="N52"/>
  <c r="O52"/>
  <c r="O53"/>
  <c r="O61"/>
  <c r="P52"/>
  <c r="Y52"/>
  <c r="Q52"/>
  <c r="R52"/>
  <c r="S52"/>
  <c r="T52"/>
  <c r="U52"/>
  <c r="V52"/>
  <c r="W52"/>
  <c r="X52"/>
  <c r="Z52"/>
  <c r="AC52"/>
  <c r="AA52"/>
  <c r="AB52"/>
  <c r="D53"/>
  <c r="F53"/>
  <c r="H53"/>
  <c r="J53"/>
  <c r="L53"/>
  <c r="N53"/>
  <c r="P53"/>
  <c r="Q53"/>
  <c r="R53"/>
  <c r="S53"/>
  <c r="T53"/>
  <c r="U53"/>
  <c r="V53"/>
  <c r="W53"/>
  <c r="X53"/>
  <c r="AA53"/>
  <c r="AC54"/>
  <c r="AD54"/>
  <c r="AC55"/>
  <c r="AD55"/>
  <c r="AC56"/>
  <c r="AD56"/>
  <c r="AC57"/>
  <c r="AD57"/>
  <c r="AC58"/>
  <c r="AD58"/>
  <c r="AC59"/>
  <c r="AD59"/>
  <c r="AC60"/>
  <c r="AD60"/>
  <c r="AA61"/>
  <c r="AB61"/>
  <c r="AC62"/>
  <c r="AD62"/>
  <c r="AC63"/>
  <c r="AD63"/>
  <c r="AC64"/>
  <c r="AD64"/>
  <c r="AC65"/>
  <c r="AD65"/>
  <c r="K66"/>
  <c r="Y66"/>
  <c r="AC66"/>
  <c r="AD66"/>
  <c r="K67"/>
  <c r="Y67"/>
  <c r="AC67"/>
  <c r="AD67"/>
  <c r="K68"/>
  <c r="Y68"/>
  <c r="AC68"/>
  <c r="AD68"/>
  <c r="AC69"/>
  <c r="AD69"/>
  <c r="AC70"/>
  <c r="AD70"/>
  <c r="K71"/>
  <c r="Y71"/>
  <c r="AD71"/>
  <c r="Z71"/>
  <c r="AC71"/>
  <c r="AA71"/>
  <c r="AB71"/>
  <c r="AC72"/>
  <c r="AD72"/>
  <c r="AC73"/>
  <c r="AD73"/>
  <c r="AC74"/>
  <c r="AD74"/>
  <c r="AC75"/>
  <c r="AD75"/>
  <c r="AC76"/>
  <c r="AD76"/>
  <c r="AC77"/>
  <c r="AD77"/>
  <c r="Z78"/>
  <c r="AC78"/>
  <c r="AD78"/>
  <c r="AC79"/>
  <c r="AD79"/>
  <c r="AC80"/>
  <c r="AD80"/>
  <c r="K81"/>
  <c r="Y81"/>
  <c r="AA81"/>
  <c r="AB81"/>
  <c r="AC82"/>
  <c r="AD82"/>
  <c r="AC83"/>
  <c r="AD83"/>
  <c r="AC84"/>
  <c r="AD84"/>
  <c r="AC85"/>
  <c r="AD85"/>
  <c r="AC86"/>
  <c r="AD86"/>
  <c r="AC87"/>
  <c r="AD87"/>
  <c r="AC88"/>
  <c r="AD88"/>
  <c r="AC89"/>
  <c r="AD89"/>
  <c r="AC90"/>
  <c r="AD90"/>
  <c r="AC91"/>
  <c r="AD91"/>
  <c r="AC92"/>
  <c r="AD92"/>
  <c r="K93"/>
  <c r="Y93"/>
  <c r="AC93"/>
  <c r="AD93"/>
  <c r="AC94"/>
  <c r="AD94"/>
  <c r="AC95"/>
  <c r="AD95"/>
  <c r="AC96"/>
  <c r="AD96"/>
  <c r="AC97"/>
  <c r="AD97"/>
  <c r="AC98"/>
  <c r="AD98"/>
  <c r="AC99"/>
  <c r="AD99"/>
  <c r="AD101"/>
  <c r="AD102"/>
  <c r="AD103"/>
  <c r="AD104"/>
  <c r="AD105"/>
  <c r="AD106"/>
  <c r="AD107"/>
  <c r="AD108"/>
  <c r="AD109"/>
  <c r="AD110"/>
  <c r="AD111"/>
  <c r="AD112"/>
  <c r="AD113"/>
  <c r="AD114"/>
  <c r="AD115"/>
  <c r="AD116"/>
  <c r="AD117"/>
  <c r="AD118"/>
  <c r="AD119"/>
  <c r="AD120"/>
  <c r="AD121"/>
  <c r="AD122"/>
  <c r="AD123"/>
  <c r="AD124"/>
  <c r="AD125"/>
  <c r="AD126"/>
  <c r="AD127"/>
  <c r="AD128"/>
  <c r="AD129"/>
  <c r="AD130"/>
  <c r="AD131"/>
  <c r="AD132"/>
  <c r="AC3"/>
  <c r="Y3"/>
  <c r="AD3"/>
  <c r="D99"/>
  <c r="D94"/>
  <c r="D87"/>
  <c r="X81"/>
  <c r="W81"/>
  <c r="V81"/>
  <c r="U81"/>
  <c r="T81"/>
  <c r="S81"/>
  <c r="R81"/>
  <c r="Q81"/>
  <c r="P81"/>
  <c r="O81"/>
  <c r="N81"/>
  <c r="M81"/>
  <c r="L81"/>
  <c r="J81"/>
  <c r="I81"/>
  <c r="H81"/>
  <c r="G81"/>
  <c r="F81"/>
  <c r="E81"/>
  <c r="D81"/>
  <c r="X71"/>
  <c r="W71"/>
  <c r="V71"/>
  <c r="U71"/>
  <c r="T71"/>
  <c r="S71"/>
  <c r="R71"/>
  <c r="Q71"/>
  <c r="P71"/>
  <c r="O71"/>
  <c r="N71"/>
  <c r="M71"/>
  <c r="L71"/>
  <c r="J71"/>
  <c r="I71"/>
  <c r="H71"/>
  <c r="G71"/>
  <c r="F71"/>
  <c r="E71"/>
  <c r="D71"/>
  <c r="X61"/>
  <c r="W61"/>
  <c r="V61"/>
  <c r="U61"/>
  <c r="T61"/>
  <c r="S61"/>
  <c r="R61"/>
  <c r="Q61"/>
  <c r="P61"/>
  <c r="N61"/>
  <c r="L61"/>
  <c r="J61"/>
  <c r="H61"/>
  <c r="F61"/>
  <c r="D61"/>
  <c r="F16" i="20"/>
  <c r="F14"/>
  <c r="F26"/>
  <c r="F35" s="1"/>
  <c r="I48" i="26"/>
  <c r="I50"/>
  <c r="G50"/>
  <c r="G59"/>
  <c r="C50"/>
  <c r="E59"/>
  <c r="F19" i="15"/>
  <c r="J50" i="26"/>
  <c r="D42"/>
  <c r="D59" s="1"/>
  <c r="H36"/>
  <c r="H61" s="1"/>
  <c r="K53" i="35"/>
  <c r="I93" i="26"/>
  <c r="I94" s="1"/>
  <c r="C94"/>
  <c r="C97" s="1"/>
  <c r="Z81" i="35"/>
  <c r="AC81"/>
  <c r="AD81"/>
  <c r="AD44"/>
  <c r="AD42"/>
  <c r="AD45"/>
  <c r="AD43"/>
  <c r="I29" i="27"/>
  <c r="K61" i="35"/>
  <c r="D93" i="30"/>
  <c r="C14" i="27"/>
  <c r="I74"/>
  <c r="F37"/>
  <c r="J40" i="26"/>
  <c r="J42" s="1"/>
  <c r="J59" s="1"/>
  <c r="F16" i="32"/>
  <c r="F28"/>
  <c r="L22"/>
  <c r="I16"/>
  <c r="I23"/>
  <c r="J61" i="27"/>
  <c r="F22" i="32"/>
  <c r="F30" s="1"/>
  <c r="D94" i="26"/>
  <c r="D97" s="1"/>
  <c r="F23" i="32"/>
  <c r="E91" i="30"/>
  <c r="G91" s="1"/>
  <c r="I91" s="1"/>
  <c r="E89"/>
  <c r="G89" s="1"/>
  <c r="I89" s="1"/>
  <c r="J29" i="27"/>
  <c r="C24" i="26"/>
  <c r="C36" s="1"/>
  <c r="G68" i="27"/>
  <c r="G75" s="1"/>
  <c r="G79" s="1"/>
  <c r="I65"/>
  <c r="Y53" i="35"/>
  <c r="M61"/>
  <c r="AC32"/>
  <c r="AD32"/>
  <c r="Z35"/>
  <c r="K100"/>
  <c r="AD100"/>
  <c r="AD16"/>
  <c r="E79" i="27"/>
  <c r="AD52" i="35"/>
  <c r="I60" i="27"/>
  <c r="AD48" i="35"/>
  <c r="F61" i="26"/>
  <c r="AC35" i="35"/>
  <c r="AD35"/>
  <c r="Z53"/>
  <c r="Y61"/>
  <c r="AC53"/>
  <c r="AD53"/>
  <c r="Z61"/>
  <c r="AC61"/>
  <c r="AD61"/>
  <c r="I17" i="27"/>
  <c r="D45" i="31"/>
  <c r="E93" i="30"/>
  <c r="G93" s="1"/>
  <c r="I93" s="1"/>
  <c r="E90"/>
  <c r="G90" s="1"/>
  <c r="I90" s="1"/>
  <c r="D18" i="28"/>
  <c r="D74" i="31"/>
  <c r="K19" i="26" l="1"/>
  <c r="K27"/>
  <c r="I29"/>
  <c r="G36"/>
  <c r="D27" i="21"/>
  <c r="D68" i="27"/>
  <c r="D75" s="1"/>
  <c r="G92" i="30"/>
  <c r="I92" s="1"/>
  <c r="E19" i="27"/>
  <c r="I19" s="1"/>
  <c r="I40" i="26"/>
  <c r="I42" s="1"/>
  <c r="G61"/>
  <c r="E27" i="22"/>
  <c r="E24" i="26"/>
  <c r="E36" s="1"/>
  <c r="E61" s="1"/>
  <c r="I22"/>
  <c r="E18" i="39"/>
  <c r="E26" i="21"/>
  <c r="E18"/>
  <c r="I20" i="26"/>
  <c r="J115"/>
  <c r="I97"/>
  <c r="D61"/>
  <c r="J36"/>
  <c r="J61"/>
  <c r="N61" s="1"/>
  <c r="I59"/>
  <c r="K22"/>
  <c r="L23" i="32"/>
  <c r="J70" i="27"/>
  <c r="G24"/>
  <c r="G37" s="1"/>
  <c r="G77" s="1"/>
  <c r="G81" s="1"/>
  <c r="H37"/>
  <c r="H79"/>
  <c r="H77"/>
  <c r="H81" s="1"/>
  <c r="H39"/>
  <c r="J68"/>
  <c r="F75"/>
  <c r="J35"/>
  <c r="J37" s="1"/>
  <c r="M80"/>
  <c r="M81" s="1"/>
  <c r="J74"/>
  <c r="I16"/>
  <c r="I35"/>
  <c r="I67"/>
  <c r="C61" i="26"/>
  <c r="E35" i="20"/>
  <c r="D79" i="27"/>
  <c r="D77"/>
  <c r="D81" s="1"/>
  <c r="D39"/>
  <c r="E23"/>
  <c r="I23" s="1"/>
  <c r="I18"/>
  <c r="D21" i="28"/>
  <c r="E87" i="30"/>
  <c r="D93" i="31"/>
  <c r="E14" i="27"/>
  <c r="E24" s="1"/>
  <c r="E37" s="1"/>
  <c r="I15"/>
  <c r="D94" i="30"/>
  <c r="G88"/>
  <c r="D38"/>
  <c r="D48" s="1"/>
  <c r="D77" s="1"/>
  <c r="C24" i="27"/>
  <c r="C37" s="1"/>
  <c r="K20" i="26" l="1"/>
  <c r="K29"/>
  <c r="E27" i="21"/>
  <c r="I24" i="26"/>
  <c r="G39" i="27"/>
  <c r="G42" s="1"/>
  <c r="F79"/>
  <c r="F39"/>
  <c r="F77"/>
  <c r="F81" s="1"/>
  <c r="H42"/>
  <c r="H85" i="26"/>
  <c r="H87" s="1"/>
  <c r="H88" s="1"/>
  <c r="H115" s="1"/>
  <c r="J75" i="27"/>
  <c r="C68"/>
  <c r="C75" s="1"/>
  <c r="C79" s="1"/>
  <c r="D12" i="28"/>
  <c r="D15" s="1"/>
  <c r="D23" s="1"/>
  <c r="D42" i="27"/>
  <c r="D85" i="26"/>
  <c r="D87" s="1"/>
  <c r="D88" s="1"/>
  <c r="D115" s="1"/>
  <c r="M77" i="27"/>
  <c r="I68"/>
  <c r="L74" s="1"/>
  <c r="E77"/>
  <c r="E81" s="1"/>
  <c r="E39"/>
  <c r="G87" i="30"/>
  <c r="I87" s="1"/>
  <c r="E94"/>
  <c r="G94"/>
  <c r="G96" s="1"/>
  <c r="L24" i="27" s="1"/>
  <c r="I14"/>
  <c r="I24" s="1"/>
  <c r="I37" s="1"/>
  <c r="I88" i="30"/>
  <c r="I36" i="26" l="1"/>
  <c r="I61" s="1"/>
  <c r="K61" s="1"/>
  <c r="L24"/>
  <c r="I75" i="27"/>
  <c r="I79" s="1"/>
  <c r="L81" s="1"/>
  <c r="G85" i="26"/>
  <c r="G87" s="1"/>
  <c r="G88" s="1"/>
  <c r="G115" s="1"/>
  <c r="J77" i="27"/>
  <c r="J81" s="1"/>
  <c r="J83" s="1"/>
  <c r="J79"/>
  <c r="F42"/>
  <c r="F85" i="26"/>
  <c r="F87" s="1"/>
  <c r="F88" s="1"/>
  <c r="F115" s="1"/>
  <c r="C39" i="27"/>
  <c r="C77"/>
  <c r="C85" i="26" s="1"/>
  <c r="L37" i="27"/>
  <c r="J44"/>
  <c r="J39"/>
  <c r="E85" i="26"/>
  <c r="E87" s="1"/>
  <c r="E88" s="1"/>
  <c r="E115" s="1"/>
  <c r="E42" i="27"/>
  <c r="L77"/>
  <c r="I39" s="1"/>
  <c r="C42"/>
  <c r="C81"/>
  <c r="C83" s="1"/>
  <c r="I77" l="1"/>
  <c r="I81" s="1"/>
  <c r="I83" s="1"/>
  <c r="J42"/>
  <c r="J50"/>
  <c r="L79"/>
  <c r="I44"/>
  <c r="I42"/>
  <c r="I85" i="26"/>
  <c r="I87" s="1"/>
  <c r="I88" s="1"/>
  <c r="C87"/>
  <c r="C88" s="1"/>
  <c r="C115" s="1"/>
  <c r="L82" i="27" l="1"/>
  <c r="I115" i="26"/>
  <c r="K115" s="1"/>
  <c r="E13" i="33"/>
  <c r="F13" l="1"/>
  <c r="E14" s="1"/>
  <c r="D14"/>
  <c r="F14" l="1"/>
</calcChain>
</file>

<file path=xl/sharedStrings.xml><?xml version="1.0" encoding="utf-8"?>
<sst xmlns="http://schemas.openxmlformats.org/spreadsheetml/2006/main" count="1091" uniqueCount="476">
  <si>
    <t>%</t>
  </si>
  <si>
    <t>II.</t>
  </si>
  <si>
    <t>III.</t>
  </si>
  <si>
    <t>VI.</t>
  </si>
  <si>
    <t>3-A</t>
  </si>
  <si>
    <t>4-A</t>
  </si>
  <si>
    <t>Годишно отчитане на сектора за снабдяване с топлинна енергия - Таблици с данни</t>
  </si>
  <si>
    <t xml:space="preserve">Наименование            </t>
  </si>
  <si>
    <t>Счетоводен баланс</t>
  </si>
  <si>
    <t>Отчет за приходите и разходите</t>
  </si>
  <si>
    <t>Общо разходи на дружеството</t>
  </si>
  <si>
    <t>Производствени разходи</t>
  </si>
  <si>
    <t>3-В</t>
  </si>
  <si>
    <t xml:space="preserve">Разходи за пренос и разпределение </t>
  </si>
  <si>
    <t>4-В</t>
  </si>
  <si>
    <t>4-Д</t>
  </si>
  <si>
    <t>4-Е</t>
  </si>
  <si>
    <t>Материални запаси (Материали и консумативи)</t>
  </si>
  <si>
    <t>Капиталова структура и пасиви</t>
  </si>
  <si>
    <t>Приходи, продажби на енергия и клиенти</t>
  </si>
  <si>
    <t>Нови свързвания</t>
  </si>
  <si>
    <t>Постигнато качество на услугата</t>
  </si>
  <si>
    <t xml:space="preserve">Край на </t>
  </si>
  <si>
    <t>Увеличение/</t>
  </si>
  <si>
    <t>Ред</t>
  </si>
  <si>
    <t>Сметкa</t>
  </si>
  <si>
    <t xml:space="preserve">Година </t>
  </si>
  <si>
    <t>Намаление</t>
  </si>
  <si>
    <t xml:space="preserve">№ </t>
  </si>
  <si>
    <t>Салдо</t>
  </si>
  <si>
    <t>ХИЛЯДИ ЛЕВА</t>
  </si>
  <si>
    <t>Тръбна мрежа</t>
  </si>
  <si>
    <t>Други</t>
  </si>
  <si>
    <t>Общо материални запаси (Материали и консумативи)</t>
  </si>
  <si>
    <t>Главен счетоводител:</t>
  </si>
  <si>
    <t>Дата:</t>
  </si>
  <si>
    <t xml:space="preserve">(Подпис) </t>
  </si>
  <si>
    <t>Изпълнителен директор:</t>
  </si>
  <si>
    <t>Наименование на актива</t>
  </si>
  <si>
    <t>Бруто активи</t>
  </si>
  <si>
    <t>Натрупана</t>
  </si>
  <si>
    <t>Нетни активи</t>
  </si>
  <si>
    <t>Стойност</t>
  </si>
  <si>
    <t xml:space="preserve">Амортизация </t>
  </si>
  <si>
    <t>ПРОИЗВОДСТВО</t>
  </si>
  <si>
    <t>Сгради и конструкции</t>
  </si>
  <si>
    <t xml:space="preserve">Дата: </t>
  </si>
  <si>
    <t xml:space="preserve">Изпълнителен директор: </t>
  </si>
  <si>
    <t xml:space="preserve">Главен счетоводител: </t>
  </si>
  <si>
    <t>Общо за дружеството - дълготрайни и краткотрайни активи</t>
  </si>
  <si>
    <t>Група активи</t>
  </si>
  <si>
    <t>Счетоводна стойност</t>
  </si>
  <si>
    <t xml:space="preserve">A. </t>
  </si>
  <si>
    <t>ДЪЛГОТРАЙНИ МАТЕРИАЛНИ АКТИВИ</t>
  </si>
  <si>
    <t xml:space="preserve"> I. </t>
  </si>
  <si>
    <t xml:space="preserve">Административни </t>
  </si>
  <si>
    <t>Сгради</t>
  </si>
  <si>
    <t xml:space="preserve">IV. </t>
  </si>
  <si>
    <t>Транспортни средства</t>
  </si>
  <si>
    <t xml:space="preserve">V. </t>
  </si>
  <si>
    <t>Други дълготрайни материални активи</t>
  </si>
  <si>
    <t>ОБЩО ДЪЛГОТРАЙНИ МАТЕРИАЛНИ АКТИВИ</t>
  </si>
  <si>
    <t>В.</t>
  </si>
  <si>
    <t>ДЪЛГОТРАЙНИ НЕМАТЕРИАЛНИ АКТИВИ</t>
  </si>
  <si>
    <t>ДЪЛГОТРАЙНИ МАТЕРИАЛНИ АКТИВИ НА НОВИ СВЪРЗВАНИЯ</t>
  </si>
  <si>
    <t xml:space="preserve"> (Платени от нови клиенти)</t>
  </si>
  <si>
    <t>ОБОРОТЕН КАПИТАЛ</t>
  </si>
  <si>
    <t>КРАТКОТРАЙНИ АКТИВИ</t>
  </si>
  <si>
    <t>Вземания</t>
  </si>
  <si>
    <t>Парични средства</t>
  </si>
  <si>
    <t>Общо краткотрайни активи (1-2+3)</t>
  </si>
  <si>
    <t>ПАСИВИ</t>
  </si>
  <si>
    <t>Текущи пасиви</t>
  </si>
  <si>
    <t>СУМА НА ПАСИВА</t>
  </si>
  <si>
    <t>Приходи</t>
  </si>
  <si>
    <t>Продажби на енергия</t>
  </si>
  <si>
    <t>Клиенти</t>
  </si>
  <si>
    <t>Наименование</t>
  </si>
  <si>
    <t>Предходна</t>
  </si>
  <si>
    <t>Текуща</t>
  </si>
  <si>
    <t>Общо</t>
  </si>
  <si>
    <t>спрямо предходната</t>
  </si>
  <si>
    <t>спрямо</t>
  </si>
  <si>
    <t>(МВтч топлина)</t>
  </si>
  <si>
    <t>(края на годината)</t>
  </si>
  <si>
    <t>Търговски</t>
  </si>
  <si>
    <t>Промишлени</t>
  </si>
  <si>
    <t>Големи промишлени</t>
  </si>
  <si>
    <t>Правителство</t>
  </si>
  <si>
    <t>Общо продажби на пара</t>
  </si>
  <si>
    <t>Продажби на топлинна енергия</t>
  </si>
  <si>
    <t>Жилищни</t>
  </si>
  <si>
    <t>Общо продажби на топлинна енергия</t>
  </si>
  <si>
    <t>Общо продажби на пара и топлинна енергия</t>
  </si>
  <si>
    <t>Други приходи от дейността</t>
  </si>
  <si>
    <t>Други приходи от услуги</t>
  </si>
  <si>
    <t>Други приходи от електрическа енергия</t>
  </si>
  <si>
    <t>Общо други приходи от дейността</t>
  </si>
  <si>
    <t>Таблица 3-В</t>
  </si>
  <si>
    <t>Производствени разходи за дейността</t>
  </si>
  <si>
    <t>Други разходи</t>
  </si>
  <si>
    <t>Дата: -----------------------------</t>
  </si>
  <si>
    <t xml:space="preserve">Общо разходи за дейността на дружеството </t>
  </si>
  <si>
    <t>Производство</t>
  </si>
  <si>
    <t>Експлоатация и поддържане</t>
  </si>
  <si>
    <t>Общо производство</t>
  </si>
  <si>
    <t>Общо за пренос</t>
  </si>
  <si>
    <t>Подобряване на качеството на услугата и подаваната енергия</t>
  </si>
  <si>
    <t>Производство на топлинна енергия</t>
  </si>
  <si>
    <t>Ефективност</t>
  </si>
  <si>
    <t>Целева</t>
  </si>
  <si>
    <t>Действителна</t>
  </si>
  <si>
    <t>Измерване</t>
  </si>
  <si>
    <t>Пренос</t>
  </si>
  <si>
    <t>Група</t>
  </si>
  <si>
    <t xml:space="preserve">Брой </t>
  </si>
  <si>
    <t>Цена за свързване</t>
  </si>
  <si>
    <t xml:space="preserve">Общо за клиенти </t>
  </si>
  <si>
    <t>на</t>
  </si>
  <si>
    <t>Плащания за свързване</t>
  </si>
  <si>
    <t>(ЛЕВА)</t>
  </si>
  <si>
    <t>(ХИЛЯДИ ЛЕВА)</t>
  </si>
  <si>
    <t>Пара</t>
  </si>
  <si>
    <t>Топлинна енергия и топла вода</t>
  </si>
  <si>
    <t>Общо за свързване</t>
  </si>
  <si>
    <t>няма отношение</t>
  </si>
  <si>
    <t>Главен счетоводител</t>
  </si>
  <si>
    <t>Отчет за приходи и разходи</t>
  </si>
  <si>
    <t>Регулирани дейности</t>
  </si>
  <si>
    <t>Нерегулирани дейности</t>
  </si>
  <si>
    <t>Общо дейности на предприятието</t>
  </si>
  <si>
    <t>(в хиляди лева)</t>
  </si>
  <si>
    <t>НАИМЕНОВАНИЕ</t>
  </si>
  <si>
    <t xml:space="preserve">година </t>
  </si>
  <si>
    <t xml:space="preserve"> колона   1</t>
  </si>
  <si>
    <t xml:space="preserve"> колона   2</t>
  </si>
  <si>
    <t xml:space="preserve"> колона   3</t>
  </si>
  <si>
    <t xml:space="preserve"> колона   4</t>
  </si>
  <si>
    <t xml:space="preserve"> колона   5</t>
  </si>
  <si>
    <t xml:space="preserve"> колона   6</t>
  </si>
  <si>
    <t>A. ОПЕРАТИВНА ДЕЙНОСТ</t>
  </si>
  <si>
    <t xml:space="preserve">  1. Материали</t>
  </si>
  <si>
    <t>Общо Група I</t>
  </si>
  <si>
    <t xml:space="preserve">  1. Балансова стойност на продадени активи</t>
  </si>
  <si>
    <t>Общо Група II</t>
  </si>
  <si>
    <t>Общо Група III.</t>
  </si>
  <si>
    <t>B. Общо разходи за дейността</t>
  </si>
  <si>
    <t xml:space="preserve">    В. ПЕЧАЛБА ОТ ОПЕРАТИВНА ДЕЙНОСТ</t>
  </si>
  <si>
    <t>IV. Извънредни разходи</t>
  </si>
  <si>
    <t>Общо за Група IV</t>
  </si>
  <si>
    <t xml:space="preserve">    Г. ОБЩО РАЗХОДИ</t>
  </si>
  <si>
    <t>Д. СЧЕТОВОДНА ПЕЧАЛБА</t>
  </si>
  <si>
    <t>Общо за Група V</t>
  </si>
  <si>
    <t>Е. ПЕЧАЛБА (Д - V)</t>
  </si>
  <si>
    <t>ПРИХОДИ</t>
  </si>
  <si>
    <t>A. ПРИХОДИ ОТ ОПЕРАТИВНА ДЕЙНОСТ</t>
  </si>
  <si>
    <t>I. Нетни приходи от продажби на:</t>
  </si>
  <si>
    <t xml:space="preserve">  1. Пара</t>
  </si>
  <si>
    <t xml:space="preserve">  2. Топлинна енергия</t>
  </si>
  <si>
    <t>II. Приходи от финансирания</t>
  </si>
  <si>
    <t>B. ОБЩО ПРИХОДИ ОТ ОПЕРАТИВНА ДЕЙНОСТ</t>
  </si>
  <si>
    <t xml:space="preserve">    В. ЗАГУБИ ОТ ОПЕРАТИВНА ДЕЙНОСТ</t>
  </si>
  <si>
    <t>IV. Извънредни приходи</t>
  </si>
  <si>
    <t xml:space="preserve">    Г. ОБЩО ПРИХОДИ (Б + IV)</t>
  </si>
  <si>
    <t>Д. СЧЕТОВОДНА ЗАГУБА</t>
  </si>
  <si>
    <t>Е. ЗАГУБА (Д + Данъци)</t>
  </si>
  <si>
    <t>АКТИВ</t>
  </si>
  <si>
    <t>Общо за Група I</t>
  </si>
  <si>
    <t>II. Нематериални активи</t>
  </si>
  <si>
    <t>Общо за Група II</t>
  </si>
  <si>
    <t>III. Дългосрочни финансови активи</t>
  </si>
  <si>
    <t>Общо за Група III.</t>
  </si>
  <si>
    <t>V. Разходи за бъдещи периоди</t>
  </si>
  <si>
    <t>ОБЩО РАЗДЕЛ A.</t>
  </si>
  <si>
    <t>I. Стоково-материални запаси</t>
  </si>
  <si>
    <t>II. Текущи вземания</t>
  </si>
  <si>
    <t xml:space="preserve">  2. Вземания от клиенти и доставчици</t>
  </si>
  <si>
    <t xml:space="preserve">  5. Други текущи вземания</t>
  </si>
  <si>
    <t>III. Краткосрочни финансови активи</t>
  </si>
  <si>
    <t>IV. Касова и банкова наличност</t>
  </si>
  <si>
    <t xml:space="preserve">  1. Парични средства - депозити </t>
  </si>
  <si>
    <t xml:space="preserve">  2. Парични средства в брой</t>
  </si>
  <si>
    <t>ОБЩО РАЗДЕЛ Б</t>
  </si>
  <si>
    <t>В. УСЛОВНИ АКТИВИ</t>
  </si>
  <si>
    <t>A. СОБСТВЕН КАПИТАЛ</t>
  </si>
  <si>
    <t>I. Начален (дялов) капитал</t>
  </si>
  <si>
    <t xml:space="preserve">  1. Основен капитал</t>
  </si>
  <si>
    <t>II. Резерви</t>
  </si>
  <si>
    <t>III. Финансов резултат</t>
  </si>
  <si>
    <t xml:space="preserve">  1. Текуща печалба/загуба</t>
  </si>
  <si>
    <t>Общо за Група III</t>
  </si>
  <si>
    <t>ОБЩО РАЗДЕЛ A</t>
  </si>
  <si>
    <t>Б. ДЪЛГОСРОЧНИ ПАСИВИ</t>
  </si>
  <si>
    <t>I. Дългосрочни пасиви (задължения)</t>
  </si>
  <si>
    <t xml:space="preserve">  1. Задължения към финансови институции, включително банки</t>
  </si>
  <si>
    <t xml:space="preserve">  2. Задължения по търговски заеми</t>
  </si>
  <si>
    <t>II. Приходи за бъдещи периоди и финансирания</t>
  </si>
  <si>
    <t>I. Краткосрочни задължения (плащания)</t>
  </si>
  <si>
    <t xml:space="preserve">  1. Задължения към клиенти и доставчици</t>
  </si>
  <si>
    <t xml:space="preserve">  2. Даньчни задължения</t>
  </si>
  <si>
    <t xml:space="preserve">  3 Задължения по гаранции</t>
  </si>
  <si>
    <t xml:space="preserve">  4. Задължения към служители</t>
  </si>
  <si>
    <t xml:space="preserve">  5. Задължения по търговски заеми - лизинг</t>
  </si>
  <si>
    <t xml:space="preserve">  7. Провизии</t>
  </si>
  <si>
    <t xml:space="preserve">  8. Задължения към финансови институции, включително банки.</t>
  </si>
  <si>
    <t xml:space="preserve">  9. Други краткосрочни задължения</t>
  </si>
  <si>
    <t>ОБЩО РАЗДЕЛ В</t>
  </si>
  <si>
    <t>СУМА НА ПАСИВА (A + Б + В)</t>
  </si>
  <si>
    <t>Г. УСЛОВНИ ПАСИВИ</t>
  </si>
  <si>
    <t>Капиталова структура и даньчни задължения</t>
  </si>
  <si>
    <t xml:space="preserve">            Наименование            </t>
  </si>
  <si>
    <t>Единица</t>
  </si>
  <si>
    <t>Увеличение/намаление</t>
  </si>
  <si>
    <t>(Предходна година)</t>
  </si>
  <si>
    <t>(Текуща година)</t>
  </si>
  <si>
    <t xml:space="preserve">Собствен капитал </t>
  </si>
  <si>
    <t>Сума на собствения капитал</t>
  </si>
  <si>
    <t>Част на собствения капитал от капиталовата структура</t>
  </si>
  <si>
    <t>Норма на възвръщаемост на собствения капитал</t>
  </si>
  <si>
    <t>Дълг</t>
  </si>
  <si>
    <t>Сума на дълга</t>
  </si>
  <si>
    <t xml:space="preserve"> - Договори за финансов лизинг</t>
  </si>
  <si>
    <t>Дългова част от капиталовата структура</t>
  </si>
  <si>
    <t>Претеглена средна норма на възвръщаемост на дълга (1)</t>
  </si>
  <si>
    <t>Даньчни задължения</t>
  </si>
  <si>
    <t>Общо КапиталКапитал (2)</t>
  </si>
  <si>
    <t>Норма на възвръщаемост (3)</t>
  </si>
  <si>
    <t>Средна норма на възвръщаемост of финансови договори за лизинг и банкови заеми.</t>
  </si>
  <si>
    <t>Сумират се Ред 1 и Ред 4</t>
  </si>
  <si>
    <t>Нормата на възвръщаемост за колона 2 и 3 на Ред 11 се пресмята така:</t>
  </si>
  <si>
    <t>RoR = [(Ред 2) X (Ред 3/1 - Ред 9)] + [(Ред 7) X (Ред 8)]</t>
  </si>
  <si>
    <t>3-Б</t>
  </si>
  <si>
    <t>4-Б</t>
  </si>
  <si>
    <t>4-Г</t>
  </si>
  <si>
    <t xml:space="preserve">Таблица № </t>
  </si>
  <si>
    <t>№</t>
  </si>
  <si>
    <t>Начало на</t>
  </si>
  <si>
    <t xml:space="preserve">годината </t>
  </si>
  <si>
    <t>годината</t>
  </si>
  <si>
    <t>Таблица № 4-Д</t>
  </si>
  <si>
    <t>Таблица № 4-A</t>
  </si>
  <si>
    <t>Земя</t>
  </si>
  <si>
    <t>Таблица №6</t>
  </si>
  <si>
    <t>Продажби на пара - клиенти</t>
  </si>
  <si>
    <t>Коефициент на</t>
  </si>
  <si>
    <t>Таблица № 7</t>
  </si>
  <si>
    <t>свързвания</t>
  </si>
  <si>
    <t>Таблица №2</t>
  </si>
  <si>
    <t xml:space="preserve">  2. Натрупана печалба/загуба, включително неразпределена печалба</t>
  </si>
  <si>
    <t>В. КРАТКОСРОЧНИ ЗАДЪЛЖЕНИЯ</t>
  </si>
  <si>
    <t>Таблица № 5</t>
  </si>
  <si>
    <t xml:space="preserve"> колона 3 минус колона 4</t>
  </si>
  <si>
    <t>РАЗХОД</t>
  </si>
  <si>
    <t>Таблица № 1</t>
  </si>
  <si>
    <t>B. КРАТКОТРАЙНИ АКТИВИ</t>
  </si>
  <si>
    <t>ОБЩО АКТИВИ (A + Б)</t>
  </si>
  <si>
    <t>Таблица 3-А</t>
  </si>
  <si>
    <t>Таблица № 8</t>
  </si>
  <si>
    <t>Материални запаси (материали и консумативи)</t>
  </si>
  <si>
    <t>Производствени</t>
  </si>
  <si>
    <t>Предавателни устройства</t>
  </si>
  <si>
    <t>Инструменти и производствени принадлежности</t>
  </si>
  <si>
    <t>Измервателни и регулиращи уреди</t>
  </si>
  <si>
    <t>Съоръжения</t>
  </si>
  <si>
    <t>Битови нужди</t>
  </si>
  <si>
    <t>Стопански</t>
  </si>
  <si>
    <t>Бюджетни</t>
  </si>
  <si>
    <t>Асоциации</t>
  </si>
  <si>
    <t xml:space="preserve">          Условно постоянни разходи</t>
  </si>
  <si>
    <t>Разходи за материали</t>
  </si>
  <si>
    <t>Горива за автотранспорт</t>
  </si>
  <si>
    <t>Работно облекло</t>
  </si>
  <si>
    <t xml:space="preserve">Канцеларски материали </t>
  </si>
  <si>
    <t>Други материали</t>
  </si>
  <si>
    <t>Разходи за външни услуги</t>
  </si>
  <si>
    <t>Застраховки</t>
  </si>
  <si>
    <t>Въоръжена и противопожарна охрана</t>
  </si>
  <si>
    <t>хил.лв</t>
  </si>
  <si>
    <t>1</t>
  </si>
  <si>
    <t>Услуги по граждански договори</t>
  </si>
  <si>
    <t>Разходи за амортизация</t>
  </si>
  <si>
    <t>Разходи за заплати</t>
  </si>
  <si>
    <t>Охрана на труда</t>
  </si>
  <si>
    <t>Служебни пътувания и командировки</t>
  </si>
  <si>
    <t xml:space="preserve">          Променливи разходи</t>
  </si>
  <si>
    <t>Горива за производство</t>
  </si>
  <si>
    <t xml:space="preserve">Вода за производство </t>
  </si>
  <si>
    <t>Химикали</t>
  </si>
  <si>
    <t>Ел. енергия за производство</t>
  </si>
  <si>
    <t>Административни  разходи</t>
  </si>
  <si>
    <t>Горива и материали за автотранспорт</t>
  </si>
  <si>
    <t>Материали за ремонт и текущо поддържане</t>
  </si>
  <si>
    <t>Разходи за производство на електрическа и топлинна енергия</t>
  </si>
  <si>
    <t xml:space="preserve">Общо разходи за производство </t>
  </si>
  <si>
    <t>I.</t>
  </si>
  <si>
    <t>№ по ред</t>
  </si>
  <si>
    <t>Сметкa №</t>
  </si>
  <si>
    <t>Базисна година - Общо</t>
  </si>
  <si>
    <t>Квалификация</t>
  </si>
  <si>
    <t>Топлинна енергия</t>
  </si>
  <si>
    <t>Разходи за екология</t>
  </si>
  <si>
    <t>Общо разходи / I+II /</t>
  </si>
  <si>
    <t>Дата: ------------------------------</t>
  </si>
  <si>
    <t xml:space="preserve">Ремонт чрез възлагане </t>
  </si>
  <si>
    <t>Текущо и абонаментно поддържане</t>
  </si>
  <si>
    <t>Други външни услуги</t>
  </si>
  <si>
    <t>Ел. енергия и вода</t>
  </si>
  <si>
    <t>Материали за ремонт</t>
  </si>
  <si>
    <t>Материали за текущо поддържане и автотранспорт</t>
  </si>
  <si>
    <t>Общо административни разходи</t>
  </si>
  <si>
    <t>Ел.енергия и вода</t>
  </si>
  <si>
    <t>Общо активи за производство на електрическа и топлинна енергия в експлоатация</t>
  </si>
  <si>
    <t>Земи</t>
  </si>
  <si>
    <t>Машини и оборудване</t>
  </si>
  <si>
    <t>Общо активи за бъдещо ползване</t>
  </si>
  <si>
    <t>АДМИНИСТРАЦИЯ</t>
  </si>
  <si>
    <t>Общо  за производство</t>
  </si>
  <si>
    <t>Общо за администрация</t>
  </si>
  <si>
    <t xml:space="preserve">Общо активи </t>
  </si>
  <si>
    <t>Общо  за пренос и разпределение</t>
  </si>
  <si>
    <t xml:space="preserve">Енергетични и двигателни машини </t>
  </si>
  <si>
    <t>Б.</t>
  </si>
  <si>
    <t xml:space="preserve">Г. </t>
  </si>
  <si>
    <t>РЕГУЛАТОРНИ БАЗОВИ АКТИВИ (A+Б-В+Г)</t>
  </si>
  <si>
    <t>Материални запаси</t>
  </si>
  <si>
    <t>Материали на енергийното предприятие в експлоатация</t>
  </si>
  <si>
    <t>Материали за автотранспорт</t>
  </si>
  <si>
    <t>Инструменти</t>
  </si>
  <si>
    <t>Канцеларски материали</t>
  </si>
  <si>
    <t>Материали за Тръбопроводи</t>
  </si>
  <si>
    <t>I. Дълготрайни  активи</t>
  </si>
  <si>
    <t>A. ДЪЛГОТРАЙНИ  АКТИВИ</t>
  </si>
  <si>
    <t>Производство на ел. и топл. енергия</t>
  </si>
  <si>
    <t>Пренос и реализация на  топл. енергия</t>
  </si>
  <si>
    <t>2. Сгради и конструкции</t>
  </si>
  <si>
    <t xml:space="preserve"> 3.Машини и оборудване</t>
  </si>
  <si>
    <t xml:space="preserve"> 4. Съоръжения</t>
  </si>
  <si>
    <t xml:space="preserve">  3. Други</t>
  </si>
  <si>
    <t xml:space="preserve"> 1. Право на собственост</t>
  </si>
  <si>
    <t xml:space="preserve"> 2. Програмни продукти</t>
  </si>
  <si>
    <t>2. Продукция и стоки</t>
  </si>
  <si>
    <t xml:space="preserve">  1. Вземания от съучастия</t>
  </si>
  <si>
    <t xml:space="preserve">  4. Отложени даньчни активи</t>
  </si>
  <si>
    <t xml:space="preserve">  3. Вземания от съдебни спорове</t>
  </si>
  <si>
    <t xml:space="preserve">  1. Целеви резерви </t>
  </si>
  <si>
    <t xml:space="preserve">    a. общи резерви </t>
  </si>
  <si>
    <t xml:space="preserve">    b. Специални резерви</t>
  </si>
  <si>
    <t xml:space="preserve">    c. Други резерви</t>
  </si>
  <si>
    <t xml:space="preserve">  2. Резерв от последващи оценки на активите и пасивите </t>
  </si>
  <si>
    <t xml:space="preserve">  6. Задължения към осигурителни предприятия </t>
  </si>
  <si>
    <t xml:space="preserve">Текуща година </t>
  </si>
  <si>
    <t>Предходна година</t>
  </si>
  <si>
    <t xml:space="preserve">I.  Разходи по икономически елементи </t>
  </si>
  <si>
    <t xml:space="preserve">  1.  Разходи за материали </t>
  </si>
  <si>
    <t xml:space="preserve">  2. Разходи за външни услуги </t>
  </si>
  <si>
    <t xml:space="preserve">  3.Разходи за амортизации </t>
  </si>
  <si>
    <t xml:space="preserve">  5. Разходи за осигуровки </t>
  </si>
  <si>
    <t xml:space="preserve">  6. Други разходи в т. ч. </t>
  </si>
  <si>
    <t xml:space="preserve">    a. обезценка на активи </t>
  </si>
  <si>
    <t xml:space="preserve">    b. Провизии</t>
  </si>
  <si>
    <t xml:space="preserve">    c. Технологични разходи</t>
  </si>
  <si>
    <t xml:space="preserve">    d. Други</t>
  </si>
  <si>
    <t xml:space="preserve">II.  Суми с корективен характер </t>
  </si>
  <si>
    <t xml:space="preserve">  2. Разходи за придобиване и ликвидация на дълготрайни активи</t>
  </si>
  <si>
    <t xml:space="preserve">  3. Други суми с корективен характер </t>
  </si>
  <si>
    <t xml:space="preserve">III. Финансови разходи </t>
  </si>
  <si>
    <t xml:space="preserve">  1.  Разходи за лихви </t>
  </si>
  <si>
    <t xml:space="preserve">  2. Отрицателни разлики от операции с финансови активи и инструменти </t>
  </si>
  <si>
    <t xml:space="preserve">  3. Отрицателни разлики от промяна на валутни курсове </t>
  </si>
  <si>
    <t xml:space="preserve">  4. Банкови такси и комисионни </t>
  </si>
  <si>
    <t xml:space="preserve">V. Разходи за данъци </t>
  </si>
  <si>
    <t xml:space="preserve">  1. Данък печалба</t>
  </si>
  <si>
    <t xml:space="preserve">  2. Отсрочени данъци</t>
  </si>
  <si>
    <t xml:space="preserve">  4. Реинтегрирани провизии</t>
  </si>
  <si>
    <t xml:space="preserve">  3. Приходи от ел. Енергия</t>
  </si>
  <si>
    <t xml:space="preserve"> 5. Материали, дълготрайни материални активи, излишъци</t>
  </si>
  <si>
    <t xml:space="preserve">  8. Други</t>
  </si>
  <si>
    <t xml:space="preserve">III. Финансови приходи </t>
  </si>
  <si>
    <t xml:space="preserve">1. Приходи от лихви </t>
  </si>
  <si>
    <t xml:space="preserve">2. Положителни разлики от промяна на валутни курсове </t>
  </si>
  <si>
    <t>Данъци, съдебни такси,други такси</t>
  </si>
  <si>
    <t xml:space="preserve"> Пощенски и телефонни разходи </t>
  </si>
  <si>
    <t>Разходи за топлинна енергия за ремонт</t>
  </si>
  <si>
    <t>Вода за дейността</t>
  </si>
  <si>
    <t>Гориво за дейността</t>
  </si>
  <si>
    <t>Енергия за дейността</t>
  </si>
  <si>
    <t>Общо разходи за пренос и реализация на топлинна енергия</t>
  </si>
  <si>
    <t>Разходи за пренос и реализация на топлинна енергия</t>
  </si>
  <si>
    <t>Компютърно техника</t>
  </si>
  <si>
    <t>Общо активи за пренос и реализация на топлинна енергия в експлоатация</t>
  </si>
  <si>
    <t>ПРЕНОС и РЕАЛИЗАЦИЯ</t>
  </si>
  <si>
    <t>Общо  за пренос и реализация на топлинна енергия</t>
  </si>
  <si>
    <t>Общо активи за пренос и реализация на топлинна енергия за бъдещо ползване</t>
  </si>
  <si>
    <t>Стопански инвентар</t>
  </si>
  <si>
    <t>VII.</t>
  </si>
  <si>
    <t xml:space="preserve">Разходи за социални осигуровки </t>
  </si>
  <si>
    <t>Административни разходи</t>
  </si>
  <si>
    <t>Услуги за пренос и реализация на топлинна енергия</t>
  </si>
  <si>
    <t xml:space="preserve">  4. Разходи за за заплати /възнаграждения/ </t>
  </si>
  <si>
    <t xml:space="preserve"> 6.Стопански инвентар</t>
  </si>
  <si>
    <t xml:space="preserve"> 8. Други дълготрайни материални активи</t>
  </si>
  <si>
    <t xml:space="preserve"> 1 Земя</t>
  </si>
  <si>
    <t xml:space="preserve"> 5. Транспортни средства</t>
  </si>
  <si>
    <t xml:space="preserve"> 7. Разходи за придобиване и ликвидация на активи</t>
  </si>
  <si>
    <t>Таблица № 4-Е</t>
  </si>
  <si>
    <t>Таблица 4-Б</t>
  </si>
  <si>
    <t>Таблица № 4-В</t>
  </si>
  <si>
    <t>Общо активи на дружеството</t>
  </si>
  <si>
    <t xml:space="preserve">Активи за производство на дружеството за бъдещо ползване </t>
  </si>
  <si>
    <t>Общо активи за пренос и реализация на топлинна енергия, в експлоатация</t>
  </si>
  <si>
    <t>Общо активи за производство на електрическа и топлинна енергия, в експлоатация</t>
  </si>
  <si>
    <t>Общо активи за производство на електрическа и топлинна енергия за бъдещо ползване</t>
  </si>
  <si>
    <t>Таблица 4-Г</t>
  </si>
  <si>
    <t xml:space="preserve">Активи за прeнос и реализация на топл.енергия за бъдещо ползване </t>
  </si>
  <si>
    <t xml:space="preserve">  6. Услуги,наеми</t>
  </si>
  <si>
    <t>Таблица 3-Б</t>
  </si>
  <si>
    <t>Наеми</t>
  </si>
  <si>
    <t xml:space="preserve"> Разходи за пренос и реализация на топлинна енергия</t>
  </si>
  <si>
    <t>Дата: ----------------------</t>
  </si>
  <si>
    <t>Дата: -------------------------</t>
  </si>
  <si>
    <t xml:space="preserve"> "ТОПЛОФИКАЦИЯ-СЛИВЕН"ЕАД</t>
  </si>
  <si>
    <t>Застр.МПС</t>
  </si>
  <si>
    <t>ред14табл.</t>
  </si>
  <si>
    <t>Газ пропан бутан автотранспорт</t>
  </si>
  <si>
    <t>Бензин автотранспорт производство</t>
  </si>
  <si>
    <t>ГСМ-ли за автотранспорт(от№6-9;20-35)</t>
  </si>
  <si>
    <t>Заплати автотранспорт</t>
  </si>
  <si>
    <t>Обезщетения чл.40 ал.4КСО</t>
  </si>
  <si>
    <t>Обезщетения чл.222/1</t>
  </si>
  <si>
    <t>Осигуровки автотранспорт</t>
  </si>
  <si>
    <t>Такси автотранспорт;ГТП</t>
  </si>
  <si>
    <t>Материали за текущо поддържане-автотранспорт</t>
  </si>
  <si>
    <t>Резервни части за текущо поддържане-автотранпорт</t>
  </si>
  <si>
    <t>Автосервизна услуга</t>
  </si>
  <si>
    <t>Инструменти и инвентар автотр.</t>
  </si>
  <si>
    <t>Работно облекло автотранспорт</t>
  </si>
  <si>
    <t>Винетна такса автотр.</t>
  </si>
  <si>
    <t>амотризации автотранспорт</t>
  </si>
  <si>
    <t>Дизелово гориво автотранспорт пр-во за булдозери</t>
  </si>
  <si>
    <t>Дизелово гориво автотранспорт пр-во--"булдозери"</t>
  </si>
  <si>
    <t>Бензин автотранспорт пренос</t>
  </si>
  <si>
    <t>Дизелово гориво автотранспорт пренос</t>
  </si>
  <si>
    <t>Ремонт булдозер Т 130</t>
  </si>
  <si>
    <t>Данък сгради автотранспорт</t>
  </si>
  <si>
    <t>Такса МПС</t>
  </si>
  <si>
    <t>Данък ЗКПО</t>
  </si>
  <si>
    <t>Текущо поддържане автотранспорт</t>
  </si>
  <si>
    <t>Компенсаруем отпуск мин.години -отпуск(автотранп)</t>
  </si>
  <si>
    <t>Компенсаруем отпуск мин.години осигуровки(автотр)</t>
  </si>
  <si>
    <t>ГСМ м-ли автотранспорт</t>
  </si>
  <si>
    <t>м-ц март</t>
  </si>
  <si>
    <t>м-ц</t>
  </si>
  <si>
    <t xml:space="preserve">Дизелово гориво автотранспорт пр-во </t>
  </si>
  <si>
    <t>ГСМ-ли за автотранспорт</t>
  </si>
  <si>
    <t>Газ пропан бутан пренос</t>
  </si>
  <si>
    <t>Газ пропан бутан пр-во</t>
  </si>
  <si>
    <t>Бензин автотранспорт пр-во</t>
  </si>
  <si>
    <t>Дизелово гориво автотранспорт пр-во</t>
  </si>
  <si>
    <t>Газ пропан бутан админ.</t>
  </si>
  <si>
    <t>Бензин автотранспорт админ.</t>
  </si>
  <si>
    <t>Дизелово гориво автотранспорт админ.</t>
  </si>
  <si>
    <t>Услуги автотр.</t>
  </si>
  <si>
    <t>Други дълготрайни нематериални активи</t>
  </si>
  <si>
    <t>Име на енергийното предприятие:  "ТОПЛОФИКАЦИЯ-СЛИВЕН"ЕАД</t>
  </si>
  <si>
    <t>Квоти парникови емисии</t>
  </si>
  <si>
    <t xml:space="preserve"> - Заеми от банки и др.</t>
  </si>
  <si>
    <t>607;8</t>
  </si>
  <si>
    <t>IV. Търговска репутация(отсрочени данъци)</t>
  </si>
  <si>
    <t>Отчет към края на годината: 31.12.2014 г.</t>
  </si>
  <si>
    <t>Акциз горива-въглища  и ел.енергия СН;балансираща ел.енергия</t>
  </si>
  <si>
    <t>Отчет към края на годината: 31.12.2015 г.</t>
  </si>
  <si>
    <t>Отчет към края на годината: 31.12.20154 г.</t>
  </si>
  <si>
    <t>Данък 5%от ст.на прод.ел.енерг</t>
  </si>
  <si>
    <t xml:space="preserve"> 7. Неустойка за топлинна и ел.енергия</t>
  </si>
  <si>
    <t>р-ка</t>
  </si>
  <si>
    <t>общо:</t>
  </si>
</sst>
</file>

<file path=xl/styles.xml><?xml version="1.0" encoding="utf-8"?>
<styleSheet xmlns="http://schemas.openxmlformats.org/spreadsheetml/2006/main">
  <fonts count="50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</font>
    <font>
      <sz val="9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</font>
    <font>
      <b/>
      <u/>
      <sz val="10"/>
      <name val="Arial"/>
      <family val="2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</font>
    <font>
      <b/>
      <u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name val="Times New Roman"/>
      <family val="1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u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1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9"/>
      <name val="Arial"/>
      <family val="2"/>
      <charset val="204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9"/>
      <color indexed="8"/>
      <name val="Courier New"/>
      <family val="3"/>
      <charset val="204"/>
    </font>
    <font>
      <sz val="10"/>
      <color rgb="FFFF0000"/>
      <name val="Arial"/>
      <family val="2"/>
      <charset val="204"/>
    </font>
    <font>
      <sz val="9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lightGray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Border="1"/>
    <xf numFmtId="0" fontId="0" fillId="0" borderId="0" xfId="0" applyAlignment="1">
      <alignment horizontal="right"/>
    </xf>
    <xf numFmtId="0" fontId="0" fillId="0" borderId="1" xfId="0" applyBorder="1"/>
    <xf numFmtId="0" fontId="2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4" xfId="0" applyFont="1" applyBorder="1"/>
    <xf numFmtId="0" fontId="2" fillId="0" borderId="16" xfId="0" applyFont="1" applyBorder="1" applyAlignment="1">
      <alignment vertical="center"/>
    </xf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5" xfId="0" applyFont="1" applyBorder="1"/>
    <xf numFmtId="0" fontId="2" fillId="0" borderId="21" xfId="0" applyFont="1" applyBorder="1"/>
    <xf numFmtId="0" fontId="10" fillId="0" borderId="20" xfId="0" applyFont="1" applyBorder="1" applyAlignment="1">
      <alignment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22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23" xfId="0" applyFont="1" applyFill="1" applyBorder="1"/>
    <xf numFmtId="0" fontId="2" fillId="0" borderId="9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/>
    <xf numFmtId="0" fontId="2" fillId="3" borderId="25" xfId="0" applyFont="1" applyFill="1" applyBorder="1"/>
    <xf numFmtId="0" fontId="2" fillId="3" borderId="26" xfId="0" applyFont="1" applyFill="1" applyBorder="1"/>
    <xf numFmtId="0" fontId="2" fillId="3" borderId="27" xfId="0" applyFont="1" applyFill="1" applyBorder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/>
    <xf numFmtId="0" fontId="5" fillId="0" borderId="0" xfId="0" applyFont="1" applyAlignment="1">
      <alignment horizontal="right"/>
    </xf>
    <xf numFmtId="0" fontId="2" fillId="0" borderId="1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0" fontId="0" fillId="0" borderId="11" xfId="0" applyBorder="1"/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49" fontId="2" fillId="2" borderId="21" xfId="0" applyNumberFormat="1" applyFont="1" applyFill="1" applyBorder="1"/>
    <xf numFmtId="0" fontId="2" fillId="2" borderId="21" xfId="0" applyFont="1" applyFill="1" applyBorder="1"/>
    <xf numFmtId="0" fontId="2" fillId="2" borderId="32" xfId="0" applyFont="1" applyFill="1" applyBorder="1"/>
    <xf numFmtId="0" fontId="2" fillId="0" borderId="32" xfId="0" applyFont="1" applyBorder="1" applyAlignment="1">
      <alignment horizontal="center"/>
    </xf>
    <xf numFmtId="49" fontId="2" fillId="0" borderId="0" xfId="0" applyNumberFormat="1" applyFont="1"/>
    <xf numFmtId="0" fontId="2" fillId="3" borderId="28" xfId="0" applyFont="1" applyFill="1" applyBorder="1" applyAlignment="1">
      <alignment horizontal="center"/>
    </xf>
    <xf numFmtId="0" fontId="2" fillId="3" borderId="21" xfId="0" applyFont="1" applyFill="1" applyBorder="1"/>
    <xf numFmtId="0" fontId="2" fillId="3" borderId="32" xfId="0" applyFont="1" applyFill="1" applyBorder="1"/>
    <xf numFmtId="49" fontId="2" fillId="2" borderId="6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2" xfId="0" applyFont="1" applyBorder="1"/>
    <xf numFmtId="0" fontId="13" fillId="0" borderId="4" xfId="0" applyFont="1" applyBorder="1"/>
    <xf numFmtId="0" fontId="2" fillId="0" borderId="33" xfId="0" applyFont="1" applyBorder="1" applyAlignment="1">
      <alignment horizontal="center"/>
    </xf>
    <xf numFmtId="0" fontId="2" fillId="0" borderId="33" xfId="0" applyFont="1" applyBorder="1"/>
    <xf numFmtId="0" fontId="2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Alignment="1">
      <alignment vertical="center"/>
    </xf>
    <xf numFmtId="0" fontId="0" fillId="0" borderId="30" xfId="0" applyBorder="1"/>
    <xf numFmtId="0" fontId="0" fillId="0" borderId="6" xfId="0" applyBorder="1"/>
    <xf numFmtId="0" fontId="0" fillId="0" borderId="9" xfId="0" applyBorder="1"/>
    <xf numFmtId="0" fontId="0" fillId="0" borderId="0" xfId="0" applyBorder="1"/>
    <xf numFmtId="0" fontId="13" fillId="0" borderId="11" xfId="0" applyFont="1" applyBorder="1" applyAlignment="1">
      <alignment horizontal="left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3" fillId="0" borderId="15" xfId="0" applyFont="1" applyBorder="1"/>
    <xf numFmtId="0" fontId="0" fillId="0" borderId="4" xfId="0" applyBorder="1"/>
    <xf numFmtId="0" fontId="2" fillId="0" borderId="36" xfId="0" applyFont="1" applyBorder="1" applyAlignment="1">
      <alignment horizontal="center"/>
    </xf>
    <xf numFmtId="0" fontId="2" fillId="1" borderId="36" xfId="0" applyFont="1" applyFill="1" applyBorder="1" applyAlignment="1">
      <alignment horizontal="center"/>
    </xf>
    <xf numFmtId="0" fontId="13" fillId="1" borderId="6" xfId="0" applyFont="1" applyFill="1" applyBorder="1"/>
    <xf numFmtId="0" fontId="2" fillId="1" borderId="6" xfId="0" applyFont="1" applyFill="1" applyBorder="1"/>
    <xf numFmtId="0" fontId="13" fillId="1" borderId="6" xfId="0" applyFont="1" applyFill="1" applyBorder="1" applyAlignment="1">
      <alignment horizontal="right"/>
    </xf>
    <xf numFmtId="0" fontId="0" fillId="1" borderId="6" xfId="0" applyFill="1" applyBorder="1"/>
    <xf numFmtId="0" fontId="13" fillId="0" borderId="14" xfId="0" applyFont="1" applyBorder="1"/>
    <xf numFmtId="0" fontId="13" fillId="0" borderId="3" xfId="0" applyFont="1" applyBorder="1"/>
    <xf numFmtId="0" fontId="2" fillId="0" borderId="37" xfId="0" applyFont="1" applyBorder="1" applyAlignment="1">
      <alignment horizontal="center"/>
    </xf>
    <xf numFmtId="0" fontId="0" fillId="1" borderId="28" xfId="0" applyFill="1" applyBorder="1"/>
    <xf numFmtId="0" fontId="13" fillId="1" borderId="21" xfId="0" applyFont="1" applyFill="1" applyBorder="1" applyAlignment="1">
      <alignment horizontal="center"/>
    </xf>
    <xf numFmtId="0" fontId="0" fillId="1" borderId="21" xfId="0" applyFill="1" applyBorder="1"/>
    <xf numFmtId="0" fontId="0" fillId="1" borderId="5" xfId="0" applyFill="1" applyBorder="1"/>
    <xf numFmtId="0" fontId="2" fillId="1" borderId="37" xfId="0" applyFont="1" applyFill="1" applyBorder="1" applyAlignment="1">
      <alignment horizontal="center"/>
    </xf>
    <xf numFmtId="0" fontId="13" fillId="1" borderId="21" xfId="0" applyFont="1" applyFill="1" applyBorder="1"/>
    <xf numFmtId="0" fontId="2" fillId="1" borderId="21" xfId="0" applyFont="1" applyFill="1" applyBorder="1"/>
    <xf numFmtId="0" fontId="11" fillId="1" borderId="6" xfId="0" applyFont="1" applyFill="1" applyBorder="1" applyAlignment="1">
      <alignment horizontal="right"/>
    </xf>
    <xf numFmtId="0" fontId="13" fillId="1" borderId="38" xfId="0" applyFont="1" applyFill="1" applyBorder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1" xfId="0" applyFont="1" applyBorder="1"/>
    <xf numFmtId="0" fontId="5" fillId="0" borderId="13" xfId="0" applyFont="1" applyBorder="1"/>
    <xf numFmtId="0" fontId="5" fillId="0" borderId="39" xfId="0" applyFont="1" applyBorder="1"/>
    <xf numFmtId="0" fontId="5" fillId="0" borderId="40" xfId="0" applyFont="1" applyBorder="1"/>
    <xf numFmtId="0" fontId="5" fillId="0" borderId="41" xfId="0" applyFont="1" applyBorder="1"/>
    <xf numFmtId="0" fontId="5" fillId="0" borderId="35" xfId="0" applyFont="1" applyBorder="1"/>
    <xf numFmtId="0" fontId="5" fillId="0" borderId="42" xfId="0" applyFont="1" applyBorder="1"/>
    <xf numFmtId="0" fontId="5" fillId="0" borderId="43" xfId="0" applyFont="1" applyBorder="1"/>
    <xf numFmtId="0" fontId="5" fillId="0" borderId="34" xfId="0" applyFont="1" applyBorder="1" applyAlignment="1">
      <alignment horizontal="center"/>
    </xf>
    <xf numFmtId="0" fontId="5" fillId="0" borderId="44" xfId="0" applyFont="1" applyBorder="1"/>
    <xf numFmtId="0" fontId="5" fillId="0" borderId="36" xfId="0" applyFont="1" applyBorder="1" applyAlignment="1">
      <alignment horizontal="center"/>
    </xf>
    <xf numFmtId="0" fontId="5" fillId="0" borderId="45" xfId="0" applyFont="1" applyBorder="1"/>
    <xf numFmtId="0" fontId="5" fillId="0" borderId="46" xfId="0" applyFont="1" applyBorder="1"/>
    <xf numFmtId="0" fontId="5" fillId="0" borderId="35" xfId="0" applyFont="1" applyBorder="1" applyAlignment="1">
      <alignment horizontal="center"/>
    </xf>
    <xf numFmtId="0" fontId="5" fillId="0" borderId="47" xfId="0" applyFont="1" applyBorder="1"/>
    <xf numFmtId="0" fontId="9" fillId="0" borderId="0" xfId="0" applyFont="1" applyBorder="1"/>
    <xf numFmtId="0" fontId="2" fillId="0" borderId="38" xfId="0" applyFont="1" applyBorder="1" applyAlignment="1">
      <alignment vertical="center"/>
    </xf>
    <xf numFmtId="0" fontId="5" fillId="0" borderId="29" xfId="0" applyFont="1" applyBorder="1" applyAlignment="1">
      <alignment horizontal="center"/>
    </xf>
    <xf numFmtId="0" fontId="5" fillId="0" borderId="6" xfId="0" applyFont="1" applyBorder="1"/>
    <xf numFmtId="0" fontId="5" fillId="0" borderId="7" xfId="0" applyFont="1" applyBorder="1"/>
    <xf numFmtId="0" fontId="5" fillId="0" borderId="48" xfId="0" applyFont="1" applyBorder="1"/>
    <xf numFmtId="0" fontId="5" fillId="0" borderId="30" xfId="0" applyFont="1" applyBorder="1"/>
    <xf numFmtId="0" fontId="5" fillId="0" borderId="31" xfId="0" applyFont="1" applyBorder="1"/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9" xfId="0" applyFont="1" applyBorder="1"/>
    <xf numFmtId="0" fontId="5" fillId="0" borderId="9" xfId="0" applyFont="1" applyBorder="1"/>
    <xf numFmtId="0" fontId="5" fillId="0" borderId="10" xfId="0" applyFont="1" applyBorder="1"/>
    <xf numFmtId="0" fontId="7" fillId="0" borderId="1" xfId="0" applyNumberFormat="1" applyFont="1" applyBorder="1" applyAlignment="1">
      <alignment horizontal="center" vertical="center"/>
    </xf>
    <xf numFmtId="0" fontId="16" fillId="0" borderId="0" xfId="0" applyNumberFormat="1" applyFont="1" applyAlignment="1">
      <alignment vertical="center"/>
    </xf>
    <xf numFmtId="0" fontId="16" fillId="0" borderId="0" xfId="0" applyNumberFormat="1" applyFont="1" applyAlignment="1">
      <alignment horizontal="center" vertical="center"/>
    </xf>
    <xf numFmtId="0" fontId="13" fillId="0" borderId="39" xfId="0" applyNumberFormat="1" applyFont="1" applyBorder="1" applyAlignment="1">
      <alignment horizontal="center" vertical="center"/>
    </xf>
    <xf numFmtId="0" fontId="13" fillId="0" borderId="12" xfId="0" applyNumberFormat="1" applyFont="1" applyBorder="1" applyAlignment="1">
      <alignment horizontal="center" vertical="center"/>
    </xf>
    <xf numFmtId="0" fontId="13" fillId="0" borderId="22" xfId="0" applyNumberFormat="1" applyFont="1" applyBorder="1" applyAlignment="1">
      <alignment horizontal="center" vertical="center"/>
    </xf>
    <xf numFmtId="0" fontId="13" fillId="0" borderId="14" xfId="0" applyNumberFormat="1" applyFont="1" applyBorder="1" applyAlignment="1">
      <alignment horizontal="center" vertical="center"/>
    </xf>
    <xf numFmtId="0" fontId="13" fillId="0" borderId="15" xfId="0" applyNumberFormat="1" applyFont="1" applyBorder="1" applyAlignment="1">
      <alignment horizontal="center" vertical="center"/>
    </xf>
    <xf numFmtId="0" fontId="13" fillId="0" borderId="23" xfId="0" applyNumberFormat="1" applyFont="1" applyBorder="1" applyAlignment="1">
      <alignment horizontal="center" vertical="center"/>
    </xf>
    <xf numFmtId="0" fontId="13" fillId="0" borderId="4" xfId="0" applyNumberFormat="1" applyFont="1" applyBorder="1" applyAlignment="1">
      <alignment horizontal="center" vertical="center"/>
    </xf>
    <xf numFmtId="0" fontId="13" fillId="0" borderId="50" xfId="0" applyNumberFormat="1" applyFont="1" applyBorder="1" applyAlignment="1">
      <alignment horizontal="center" vertical="center"/>
    </xf>
    <xf numFmtId="0" fontId="14" fillId="0" borderId="6" xfId="0" applyNumberFormat="1" applyFont="1" applyBorder="1"/>
    <xf numFmtId="0" fontId="4" fillId="0" borderId="0" xfId="0" applyNumberFormat="1" applyFont="1" applyAlignment="1">
      <alignment horizontal="left"/>
    </xf>
    <xf numFmtId="0" fontId="4" fillId="0" borderId="0" xfId="0" applyNumberFormat="1" applyFont="1"/>
    <xf numFmtId="0" fontId="11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13" fillId="0" borderId="6" xfId="0" applyNumberFormat="1" applyFont="1" applyBorder="1" applyAlignment="1">
      <alignment horizontal="left"/>
    </xf>
    <xf numFmtId="0" fontId="13" fillId="0" borderId="11" xfId="0" applyNumberFormat="1" applyFont="1" applyBorder="1" applyAlignment="1">
      <alignment horizontal="center" vertical="center"/>
    </xf>
    <xf numFmtId="0" fontId="13" fillId="0" borderId="41" xfId="0" applyNumberFormat="1" applyFont="1" applyBorder="1" applyAlignment="1">
      <alignment horizontal="center" vertical="center"/>
    </xf>
    <xf numFmtId="0" fontId="13" fillId="0" borderId="3" xfId="0" applyNumberFormat="1" applyFont="1" applyBorder="1" applyAlignment="1">
      <alignment horizontal="center" vertical="center"/>
    </xf>
    <xf numFmtId="0" fontId="13" fillId="0" borderId="35" xfId="0" applyNumberFormat="1" applyFont="1" applyBorder="1" applyAlignment="1">
      <alignment horizontal="center"/>
    </xf>
    <xf numFmtId="0" fontId="11" fillId="0" borderId="43" xfId="0" applyNumberFormat="1" applyFont="1" applyBorder="1" applyAlignment="1">
      <alignment horizontal="center"/>
    </xf>
    <xf numFmtId="0" fontId="13" fillId="0" borderId="50" xfId="0" applyNumberFormat="1" applyFont="1" applyBorder="1" applyAlignment="1">
      <alignment horizontal="center"/>
    </xf>
    <xf numFmtId="0" fontId="14" fillId="0" borderId="17" xfId="0" applyNumberFormat="1" applyFont="1" applyBorder="1" applyAlignment="1">
      <alignment horizontal="center" vertical="center"/>
    </xf>
    <xf numFmtId="0" fontId="13" fillId="0" borderId="18" xfId="0" applyNumberFormat="1" applyFont="1" applyBorder="1" applyAlignment="1">
      <alignment vertical="center"/>
    </xf>
    <xf numFmtId="0" fontId="14" fillId="0" borderId="20" xfId="0" applyNumberFormat="1" applyFont="1" applyBorder="1" applyAlignment="1">
      <alignment vertical="center"/>
    </xf>
    <xf numFmtId="0" fontId="15" fillId="0" borderId="20" xfId="0" applyNumberFormat="1" applyFont="1" applyBorder="1" applyAlignment="1">
      <alignment vertical="center"/>
    </xf>
    <xf numFmtId="0" fontId="14" fillId="0" borderId="5" xfId="0" applyNumberFormat="1" applyFont="1" applyBorder="1" applyAlignment="1">
      <alignment horizontal="center" vertical="center"/>
    </xf>
    <xf numFmtId="0" fontId="13" fillId="0" borderId="20" xfId="0" applyNumberFormat="1" applyFont="1" applyBorder="1" applyAlignment="1">
      <alignment vertical="center"/>
    </xf>
    <xf numFmtId="0" fontId="13" fillId="0" borderId="38" xfId="0" applyNumberFormat="1" applyFont="1" applyBorder="1" applyAlignment="1">
      <alignment vertical="center"/>
    </xf>
    <xf numFmtId="0" fontId="13" fillId="0" borderId="6" xfId="0" applyNumberFormat="1" applyFont="1" applyBorder="1" applyAlignment="1">
      <alignment vertical="center"/>
    </xf>
    <xf numFmtId="0" fontId="14" fillId="0" borderId="8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/>
    </xf>
    <xf numFmtId="0" fontId="14" fillId="0" borderId="12" xfId="0" applyNumberFormat="1" applyFont="1" applyBorder="1" applyAlignment="1">
      <alignment horizontal="center"/>
    </xf>
    <xf numFmtId="0" fontId="13" fillId="0" borderId="6" xfId="0" applyNumberFormat="1" applyFont="1" applyBorder="1"/>
    <xf numFmtId="0" fontId="3" fillId="0" borderId="34" xfId="0" applyNumberFormat="1" applyFont="1" applyBorder="1" applyAlignment="1">
      <alignment horizontal="center" vertical="center"/>
    </xf>
    <xf numFmtId="0" fontId="3" fillId="0" borderId="44" xfId="0" applyNumberFormat="1" applyFont="1" applyBorder="1" applyAlignment="1">
      <alignment horizontal="center" vertical="center"/>
    </xf>
    <xf numFmtId="0" fontId="3" fillId="0" borderId="47" xfId="0" applyNumberFormat="1" applyFont="1" applyBorder="1" applyAlignment="1">
      <alignment horizontal="center" vertical="center"/>
    </xf>
    <xf numFmtId="0" fontId="3" fillId="0" borderId="40" xfId="0" applyNumberFormat="1" applyFont="1" applyBorder="1"/>
    <xf numFmtId="0" fontId="4" fillId="0" borderId="20" xfId="0" applyNumberFormat="1" applyFont="1" applyBorder="1"/>
    <xf numFmtId="0" fontId="3" fillId="0" borderId="20" xfId="0" applyNumberFormat="1" applyFont="1" applyBorder="1"/>
    <xf numFmtId="0" fontId="3" fillId="0" borderId="0" xfId="0" applyNumberFormat="1" applyFont="1"/>
    <xf numFmtId="0" fontId="3" fillId="0" borderId="11" xfId="0" applyNumberFormat="1" applyFont="1" applyBorder="1" applyAlignment="1">
      <alignment horizontal="center"/>
    </xf>
    <xf numFmtId="0" fontId="3" fillId="0" borderId="12" xfId="0" applyNumberFormat="1" applyFont="1" applyBorder="1" applyAlignment="1">
      <alignment horizontal="center"/>
    </xf>
    <xf numFmtId="0" fontId="3" fillId="0" borderId="13" xfId="0" applyNumberFormat="1" applyFont="1" applyBorder="1" applyAlignment="1">
      <alignment horizontal="center"/>
    </xf>
    <xf numFmtId="0" fontId="3" fillId="0" borderId="22" xfId="0" applyNumberFormat="1" applyFont="1" applyFill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3" fillId="0" borderId="42" xfId="0" applyNumberFormat="1" applyFont="1" applyBorder="1" applyAlignment="1">
      <alignment horizontal="center"/>
    </xf>
    <xf numFmtId="0" fontId="3" fillId="0" borderId="50" xfId="0" applyNumberFormat="1" applyFont="1" applyBorder="1"/>
    <xf numFmtId="0" fontId="4" fillId="0" borderId="51" xfId="0" applyNumberFormat="1" applyFont="1" applyBorder="1"/>
    <xf numFmtId="0" fontId="3" fillId="0" borderId="0" xfId="0" applyNumberFormat="1" applyFont="1" applyBorder="1"/>
    <xf numFmtId="0" fontId="13" fillId="0" borderId="11" xfId="0" applyNumberFormat="1" applyFont="1" applyBorder="1" applyAlignment="1">
      <alignment horizontal="center"/>
    </xf>
    <xf numFmtId="0" fontId="13" fillId="0" borderId="12" xfId="0" applyNumberFormat="1" applyFont="1" applyBorder="1" applyAlignment="1">
      <alignment horizontal="center"/>
    </xf>
    <xf numFmtId="0" fontId="13" fillId="0" borderId="22" xfId="0" applyNumberFormat="1" applyFont="1" applyBorder="1" applyAlignment="1">
      <alignment horizontal="center"/>
    </xf>
    <xf numFmtId="0" fontId="13" fillId="0" borderId="14" xfId="0" applyNumberFormat="1" applyFont="1" applyBorder="1" applyAlignment="1">
      <alignment horizontal="center"/>
    </xf>
    <xf numFmtId="0" fontId="13" fillId="0" borderId="15" xfId="0" applyNumberFormat="1" applyFont="1" applyBorder="1" applyAlignment="1">
      <alignment horizontal="center"/>
    </xf>
    <xf numFmtId="0" fontId="13" fillId="0" borderId="23" xfId="0" applyNumberFormat="1" applyFont="1" applyBorder="1" applyAlignment="1">
      <alignment horizontal="center"/>
    </xf>
    <xf numFmtId="0" fontId="13" fillId="0" borderId="4" xfId="0" applyNumberFormat="1" applyFont="1" applyBorder="1" applyAlignment="1">
      <alignment horizontal="center"/>
    </xf>
    <xf numFmtId="0" fontId="14" fillId="0" borderId="6" xfId="0" applyNumberFormat="1" applyFont="1" applyBorder="1" applyAlignment="1">
      <alignment vertical="center"/>
    </xf>
    <xf numFmtId="0" fontId="13" fillId="0" borderId="15" xfId="0" applyNumberFormat="1" applyFont="1" applyBorder="1" applyAlignment="1">
      <alignment vertical="center"/>
    </xf>
    <xf numFmtId="0" fontId="14" fillId="0" borderId="15" xfId="0" applyNumberFormat="1" applyFont="1" applyBorder="1" applyAlignment="1">
      <alignment horizontal="center" vertical="center"/>
    </xf>
    <xf numFmtId="0" fontId="13" fillId="0" borderId="12" xfId="0" applyNumberFormat="1" applyFont="1" applyBorder="1"/>
    <xf numFmtId="0" fontId="14" fillId="0" borderId="15" xfId="0" applyNumberFormat="1" applyFont="1" applyBorder="1"/>
    <xf numFmtId="0" fontId="11" fillId="0" borderId="6" xfId="0" applyNumberFormat="1" applyFont="1" applyBorder="1" applyAlignment="1">
      <alignment horizontal="right"/>
    </xf>
    <xf numFmtId="0" fontId="13" fillId="0" borderId="15" xfId="0" applyNumberFormat="1" applyFont="1" applyBorder="1"/>
    <xf numFmtId="0" fontId="11" fillId="0" borderId="38" xfId="0" applyNumberFormat="1" applyFont="1" applyBorder="1" applyAlignment="1">
      <alignment horizontal="right"/>
    </xf>
    <xf numFmtId="0" fontId="13" fillId="0" borderId="0" xfId="0" applyNumberFormat="1" applyFont="1" applyBorder="1"/>
    <xf numFmtId="0" fontId="13" fillId="0" borderId="4" xfId="0" applyNumberFormat="1" applyFont="1" applyFill="1" applyBorder="1"/>
    <xf numFmtId="0" fontId="13" fillId="0" borderId="21" xfId="0" applyNumberFormat="1" applyFont="1" applyBorder="1"/>
    <xf numFmtId="0" fontId="13" fillId="0" borderId="6" xfId="0" applyNumberFormat="1" applyFont="1" applyBorder="1" applyAlignment="1">
      <alignment horizontal="center"/>
    </xf>
    <xf numFmtId="0" fontId="13" fillId="0" borderId="4" xfId="0" applyNumberFormat="1" applyFont="1" applyBorder="1"/>
    <xf numFmtId="0" fontId="11" fillId="0" borderId="21" xfId="0" applyNumberFormat="1" applyFont="1" applyBorder="1" applyAlignment="1">
      <alignment horizontal="right"/>
    </xf>
    <xf numFmtId="0" fontId="13" fillId="0" borderId="6" xfId="0" applyNumberFormat="1" applyFont="1" applyFill="1" applyBorder="1" applyAlignment="1">
      <alignment horizontal="center"/>
    </xf>
    <xf numFmtId="0" fontId="13" fillId="0" borderId="9" xfId="0" applyNumberFormat="1" applyFont="1" applyFill="1" applyBorder="1" applyAlignment="1">
      <alignment horizontal="left"/>
    </xf>
    <xf numFmtId="0" fontId="14" fillId="0" borderId="22" xfId="0" applyNumberFormat="1" applyFont="1" applyBorder="1" applyAlignment="1">
      <alignment horizontal="center"/>
    </xf>
    <xf numFmtId="0" fontId="13" fillId="0" borderId="30" xfId="0" applyNumberFormat="1" applyFont="1" applyBorder="1" applyAlignment="1">
      <alignment horizontal="left" vertical="center"/>
    </xf>
    <xf numFmtId="0" fontId="14" fillId="0" borderId="30" xfId="0" applyNumberFormat="1" applyFont="1" applyBorder="1" applyAlignment="1">
      <alignment horizontal="center" vertical="center"/>
    </xf>
    <xf numFmtId="0" fontId="14" fillId="0" borderId="18" xfId="0" applyNumberFormat="1" applyFont="1" applyBorder="1"/>
    <xf numFmtId="0" fontId="14" fillId="0" borderId="18" xfId="0" applyNumberFormat="1" applyFont="1" applyBorder="1" applyAlignment="1">
      <alignment horizontal="center"/>
    </xf>
    <xf numFmtId="0" fontId="14" fillId="0" borderId="6" xfId="0" applyNumberFormat="1" applyFont="1" applyBorder="1" applyAlignment="1">
      <alignment horizontal="center"/>
    </xf>
    <xf numFmtId="0" fontId="14" fillId="0" borderId="21" xfId="0" applyNumberFormat="1" applyFont="1" applyBorder="1"/>
    <xf numFmtId="0" fontId="14" fillId="0" borderId="21" xfId="0" applyNumberFormat="1" applyFont="1" applyBorder="1" applyAlignment="1">
      <alignment horizontal="center"/>
    </xf>
    <xf numFmtId="0" fontId="13" fillId="3" borderId="21" xfId="0" applyNumberFormat="1" applyFont="1" applyFill="1" applyBorder="1"/>
    <xf numFmtId="0" fontId="13" fillId="0" borderId="9" xfId="0" applyNumberFormat="1" applyFont="1" applyBorder="1"/>
    <xf numFmtId="0" fontId="14" fillId="0" borderId="9" xfId="0" applyNumberFormat="1" applyFont="1" applyBorder="1" applyAlignment="1">
      <alignment horizontal="center"/>
    </xf>
    <xf numFmtId="0" fontId="14" fillId="0" borderId="0" xfId="0" applyNumberFormat="1" applyFont="1"/>
    <xf numFmtId="0" fontId="14" fillId="0" borderId="0" xfId="0" applyNumberFormat="1" applyFont="1" applyAlignment="1">
      <alignment horizontal="center"/>
    </xf>
    <xf numFmtId="0" fontId="3" fillId="0" borderId="50" xfId="0" applyNumberFormat="1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1" borderId="6" xfId="0" applyFont="1" applyFill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3" fillId="0" borderId="13" xfId="0" applyNumberFormat="1" applyFont="1" applyBorder="1"/>
    <xf numFmtId="0" fontId="2" fillId="0" borderId="15" xfId="0" applyFont="1" applyBorder="1" applyAlignment="1">
      <alignment wrapText="1"/>
    </xf>
    <xf numFmtId="0" fontId="14" fillId="0" borderId="52" xfId="0" applyFont="1" applyBorder="1" applyAlignment="1"/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14" fillId="0" borderId="20" xfId="0" applyNumberFormat="1" applyFont="1" applyFill="1" applyBorder="1" applyAlignment="1">
      <alignment vertical="center"/>
    </xf>
    <xf numFmtId="0" fontId="13" fillId="0" borderId="0" xfId="0" applyNumberFormat="1" applyFont="1" applyFill="1" applyBorder="1"/>
    <xf numFmtId="0" fontId="2" fillId="0" borderId="53" xfId="0" applyFont="1" applyBorder="1"/>
    <xf numFmtId="0" fontId="2" fillId="0" borderId="54" xfId="0" applyFont="1" applyBorder="1"/>
    <xf numFmtId="0" fontId="3" fillId="0" borderId="0" xfId="0" applyFont="1" applyAlignment="1">
      <alignment horizontal="center"/>
    </xf>
    <xf numFmtId="0" fontId="19" fillId="0" borderId="0" xfId="0" applyFont="1"/>
    <xf numFmtId="49" fontId="21" fillId="0" borderId="29" xfId="0" applyNumberFormat="1" applyFont="1" applyBorder="1" applyAlignment="1">
      <alignment horizontal="center"/>
    </xf>
    <xf numFmtId="0" fontId="21" fillId="0" borderId="30" xfId="0" applyNumberFormat="1" applyFont="1" applyBorder="1" applyAlignment="1">
      <alignment horizontal="center"/>
    </xf>
    <xf numFmtId="0" fontId="21" fillId="0" borderId="30" xfId="0" applyFont="1" applyBorder="1"/>
    <xf numFmtId="0" fontId="21" fillId="0" borderId="5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6" xfId="0" applyNumberFormat="1" applyFont="1" applyBorder="1" applyAlignment="1">
      <alignment horizontal="center"/>
    </xf>
    <xf numFmtId="0" fontId="21" fillId="0" borderId="6" xfId="0" applyFont="1" applyBorder="1"/>
    <xf numFmtId="0" fontId="21" fillId="0" borderId="6" xfId="0" applyNumberFormat="1" applyFont="1" applyBorder="1"/>
    <xf numFmtId="0" fontId="21" fillId="0" borderId="6" xfId="0" applyNumberFormat="1" applyFont="1" applyBorder="1" applyAlignment="1"/>
    <xf numFmtId="0" fontId="21" fillId="0" borderId="6" xfId="0" applyFont="1" applyBorder="1" applyAlignment="1"/>
    <xf numFmtId="0" fontId="21" fillId="0" borderId="14" xfId="0" applyFont="1" applyFill="1" applyBorder="1" applyAlignment="1">
      <alignment horizont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21" fillId="0" borderId="0" xfId="0" applyFont="1"/>
    <xf numFmtId="0" fontId="21" fillId="0" borderId="0" xfId="0" applyNumberFormat="1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1" xfId="0" applyFont="1" applyBorder="1"/>
    <xf numFmtId="0" fontId="21" fillId="0" borderId="0" xfId="0" applyNumberFormat="1" applyFont="1"/>
    <xf numFmtId="0" fontId="22" fillId="0" borderId="0" xfId="0" applyFont="1"/>
    <xf numFmtId="0" fontId="24" fillId="0" borderId="0" xfId="0" applyFont="1"/>
    <xf numFmtId="0" fontId="26" fillId="0" borderId="0" xfId="0" applyFont="1"/>
    <xf numFmtId="0" fontId="28" fillId="0" borderId="0" xfId="0" applyFont="1"/>
    <xf numFmtId="0" fontId="23" fillId="0" borderId="15" xfId="0" applyNumberFormat="1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9" fillId="0" borderId="30" xfId="0" applyNumberFormat="1" applyFont="1" applyBorder="1"/>
    <xf numFmtId="0" fontId="30" fillId="0" borderId="30" xfId="0" applyFont="1" applyBorder="1"/>
    <xf numFmtId="0" fontId="17" fillId="0" borderId="30" xfId="0" applyFont="1" applyBorder="1"/>
    <xf numFmtId="0" fontId="17" fillId="0" borderId="6" xfId="0" applyFont="1" applyBorder="1"/>
    <xf numFmtId="0" fontId="17" fillId="0" borderId="6" xfId="0" applyFont="1" applyBorder="1" applyAlignment="1">
      <alignment horizontal="center"/>
    </xf>
    <xf numFmtId="0" fontId="17" fillId="0" borderId="6" xfId="0" applyNumberFormat="1" applyFont="1" applyBorder="1" applyAlignment="1">
      <alignment horizontal="center"/>
    </xf>
    <xf numFmtId="0" fontId="17" fillId="0" borderId="6" xfId="0" applyNumberFormat="1" applyFont="1" applyBorder="1"/>
    <xf numFmtId="0" fontId="17" fillId="0" borderId="6" xfId="0" applyNumberFormat="1" applyFont="1" applyBorder="1" applyAlignment="1"/>
    <xf numFmtId="0" fontId="31" fillId="0" borderId="6" xfId="0" applyFont="1" applyBorder="1" applyAlignment="1"/>
    <xf numFmtId="0" fontId="17" fillId="0" borderId="6" xfId="0" applyFont="1" applyBorder="1" applyAlignment="1"/>
    <xf numFmtId="0" fontId="23" fillId="0" borderId="6" xfId="0" applyNumberFormat="1" applyFont="1" applyBorder="1"/>
    <xf numFmtId="0" fontId="29" fillId="0" borderId="6" xfId="0" applyNumberFormat="1" applyFont="1" applyBorder="1"/>
    <xf numFmtId="0" fontId="30" fillId="0" borderId="6" xfId="0" applyFont="1" applyBorder="1"/>
    <xf numFmtId="0" fontId="23" fillId="0" borderId="6" xfId="0" applyFont="1" applyBorder="1" applyAlignment="1">
      <alignment horizontal="left"/>
    </xf>
    <xf numFmtId="0" fontId="32" fillId="0" borderId="4" xfId="0" applyNumberFormat="1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1" xfId="0" applyFont="1" applyBorder="1"/>
    <xf numFmtId="0" fontId="29" fillId="0" borderId="30" xfId="0" applyFont="1" applyBorder="1" applyAlignment="1">
      <alignment horizontal="center"/>
    </xf>
    <xf numFmtId="0" fontId="23" fillId="0" borderId="0" xfId="0" applyFont="1" applyBorder="1"/>
    <xf numFmtId="0" fontId="29" fillId="0" borderId="6" xfId="0" applyFont="1" applyFill="1" applyBorder="1" applyAlignment="1">
      <alignment horizontal="center"/>
    </xf>
    <xf numFmtId="0" fontId="17" fillId="0" borderId="15" xfId="0" applyFont="1" applyFill="1" applyBorder="1" applyAlignment="1">
      <alignment horizontal="center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17" fillId="0" borderId="0" xfId="0" applyNumberFormat="1" applyFont="1" applyBorder="1"/>
    <xf numFmtId="0" fontId="27" fillId="0" borderId="0" xfId="0" applyNumberFormat="1" applyFont="1" applyBorder="1" applyAlignment="1">
      <alignment horizontal="center"/>
    </xf>
    <xf numFmtId="0" fontId="21" fillId="0" borderId="0" xfId="0" applyFont="1" applyBorder="1"/>
    <xf numFmtId="0" fontId="18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34" fillId="0" borderId="0" xfId="0" applyFont="1" applyAlignment="1">
      <alignment horizontal="right"/>
    </xf>
    <xf numFmtId="0" fontId="20" fillId="0" borderId="14" xfId="0" applyNumberFormat="1" applyFont="1" applyBorder="1" applyAlignment="1">
      <alignment horizontal="center" vertical="center"/>
    </xf>
    <xf numFmtId="0" fontId="20" fillId="0" borderId="15" xfId="0" applyNumberFormat="1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/>
    </xf>
    <xf numFmtId="0" fontId="21" fillId="0" borderId="30" xfId="0" applyNumberFormat="1" applyFont="1" applyBorder="1"/>
    <xf numFmtId="0" fontId="20" fillId="0" borderId="6" xfId="0" applyNumberFormat="1" applyFont="1" applyBorder="1"/>
    <xf numFmtId="0" fontId="20" fillId="0" borderId="0" xfId="0" applyFont="1"/>
    <xf numFmtId="0" fontId="21" fillId="0" borderId="5" xfId="0" applyFont="1" applyFill="1" applyBorder="1" applyAlignment="1">
      <alignment horizontal="center"/>
    </xf>
    <xf numFmtId="0" fontId="20" fillId="0" borderId="6" xfId="0" applyFont="1" applyBorder="1" applyAlignment="1">
      <alignment horizontal="left"/>
    </xf>
    <xf numFmtId="0" fontId="21" fillId="0" borderId="4" xfId="0" applyNumberFormat="1" applyFont="1" applyBorder="1" applyAlignment="1">
      <alignment vertical="center"/>
    </xf>
    <xf numFmtId="0" fontId="34" fillId="0" borderId="0" xfId="0" applyNumberFormat="1" applyFont="1" applyAlignment="1">
      <alignment horizontal="center"/>
    </xf>
    <xf numFmtId="0" fontId="35" fillId="0" borderId="0" xfId="0" applyFont="1"/>
    <xf numFmtId="0" fontId="21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3" fontId="17" fillId="0" borderId="6" xfId="0" applyNumberFormat="1" applyFont="1" applyBorder="1"/>
    <xf numFmtId="3" fontId="17" fillId="0" borderId="4" xfId="0" applyNumberFormat="1" applyFont="1" applyBorder="1" applyAlignment="1">
      <alignment vertical="center"/>
    </xf>
    <xf numFmtId="3" fontId="21" fillId="0" borderId="6" xfId="0" applyNumberFormat="1" applyFont="1" applyBorder="1"/>
    <xf numFmtId="0" fontId="0" fillId="4" borderId="0" xfId="0" applyFill="1"/>
    <xf numFmtId="2" fontId="0" fillId="0" borderId="0" xfId="0" applyNumberFormat="1"/>
    <xf numFmtId="0" fontId="0" fillId="5" borderId="0" xfId="0" applyFill="1"/>
    <xf numFmtId="2" fontId="0" fillId="4" borderId="0" xfId="0" applyNumberFormat="1" applyFill="1"/>
    <xf numFmtId="0" fontId="22" fillId="0" borderId="0" xfId="0" applyFont="1" applyAlignment="1">
      <alignment horizontal="center"/>
    </xf>
    <xf numFmtId="3" fontId="5" fillId="0" borderId="46" xfId="0" applyNumberFormat="1" applyFont="1" applyBorder="1"/>
    <xf numFmtId="0" fontId="18" fillId="0" borderId="0" xfId="0" applyNumberFormat="1" applyFont="1" applyAlignment="1"/>
    <xf numFmtId="0" fontId="16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/>
    </xf>
    <xf numFmtId="0" fontId="13" fillId="0" borderId="29" xfId="0" applyNumberFormat="1" applyFont="1" applyBorder="1" applyAlignment="1">
      <alignment horizontal="left"/>
    </xf>
    <xf numFmtId="0" fontId="14" fillId="0" borderId="30" xfId="0" applyFont="1" applyBorder="1"/>
    <xf numFmtId="0" fontId="14" fillId="0" borderId="31" xfId="0" applyFont="1" applyBorder="1"/>
    <xf numFmtId="0" fontId="13" fillId="0" borderId="5" xfId="0" applyNumberFormat="1" applyFont="1" applyBorder="1" applyAlignment="1">
      <alignment horizontal="center"/>
    </xf>
    <xf numFmtId="0" fontId="13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4" fillId="0" borderId="6" xfId="0" applyFont="1" applyBorder="1"/>
    <xf numFmtId="0" fontId="14" fillId="0" borderId="7" xfId="0" applyFont="1" applyBorder="1"/>
    <xf numFmtId="0" fontId="14" fillId="0" borderId="5" xfId="0" applyFont="1" applyBorder="1" applyAlignment="1">
      <alignment horizontal="right"/>
    </xf>
    <xf numFmtId="0" fontId="16" fillId="0" borderId="6" xfId="0" applyFont="1" applyBorder="1" applyAlignment="1">
      <alignment horizontal="center"/>
    </xf>
    <xf numFmtId="0" fontId="14" fillId="0" borderId="6" xfId="0" applyNumberFormat="1" applyFont="1" applyBorder="1" applyAlignment="1">
      <alignment horizontal="left"/>
    </xf>
    <xf numFmtId="0" fontId="14" fillId="0" borderId="6" xfId="0" applyNumberFormat="1" applyFont="1" applyFill="1" applyBorder="1" applyAlignment="1">
      <alignment horizontal="left"/>
    </xf>
    <xf numFmtId="0" fontId="14" fillId="0" borderId="45" xfId="0" applyFont="1" applyBorder="1" applyAlignment="1">
      <alignment horizontal="left"/>
    </xf>
    <xf numFmtId="0" fontId="13" fillId="0" borderId="55" xfId="0" applyFont="1" applyBorder="1" applyAlignment="1">
      <alignment horizontal="left"/>
    </xf>
    <xf numFmtId="0" fontId="14" fillId="0" borderId="21" xfId="0" applyFont="1" applyBorder="1"/>
    <xf numFmtId="0" fontId="14" fillId="0" borderId="32" xfId="0" applyFont="1" applyBorder="1"/>
    <xf numFmtId="0" fontId="13" fillId="0" borderId="28" xfId="0" applyNumberFormat="1" applyFont="1" applyBorder="1" applyAlignment="1">
      <alignment horizontal="center"/>
    </xf>
    <xf numFmtId="0" fontId="13" fillId="0" borderId="20" xfId="0" applyNumberFormat="1" applyFont="1" applyFill="1" applyBorder="1" applyAlignment="1">
      <alignment horizontal="left"/>
    </xf>
    <xf numFmtId="0" fontId="14" fillId="0" borderId="56" xfId="0" applyNumberFormat="1" applyFont="1" applyFill="1" applyBorder="1" applyAlignment="1">
      <alignment horizontal="left"/>
    </xf>
    <xf numFmtId="0" fontId="13" fillId="0" borderId="55" xfId="0" applyNumberFormat="1" applyFont="1" applyBorder="1" applyAlignment="1">
      <alignment horizontal="left"/>
    </xf>
    <xf numFmtId="0" fontId="13" fillId="0" borderId="56" xfId="0" applyFont="1" applyBorder="1" applyAlignment="1">
      <alignment horizontal="left"/>
    </xf>
    <xf numFmtId="0" fontId="3" fillId="0" borderId="57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3" fillId="0" borderId="21" xfId="0" applyFont="1" applyBorder="1" applyAlignment="1">
      <alignment horizontal="left"/>
    </xf>
    <xf numFmtId="0" fontId="13" fillId="0" borderId="28" xfId="0" applyNumberFormat="1" applyFont="1" applyBorder="1" applyAlignment="1">
      <alignment horizontal="left"/>
    </xf>
    <xf numFmtId="0" fontId="14" fillId="0" borderId="21" xfId="0" applyNumberFormat="1" applyFont="1" applyBorder="1" applyAlignment="1">
      <alignment horizontal="left"/>
    </xf>
    <xf numFmtId="0" fontId="14" fillId="0" borderId="21" xfId="0" applyFont="1" applyBorder="1" applyAlignment="1">
      <alignment horizontal="left"/>
    </xf>
    <xf numFmtId="0" fontId="14" fillId="0" borderId="56" xfId="0" applyFont="1" applyBorder="1" applyAlignment="1">
      <alignment horizontal="left"/>
    </xf>
    <xf numFmtId="0" fontId="13" fillId="0" borderId="58" xfId="0" applyNumberFormat="1" applyFont="1" applyBorder="1" applyAlignment="1">
      <alignment horizontal="left"/>
    </xf>
    <xf numFmtId="0" fontId="13" fillId="0" borderId="59" xfId="0" applyFont="1" applyBorder="1" applyAlignment="1">
      <alignment horizontal="left"/>
    </xf>
    <xf numFmtId="0" fontId="14" fillId="0" borderId="60" xfId="0" applyFont="1" applyBorder="1" applyAlignment="1">
      <alignment horizontal="left"/>
    </xf>
    <xf numFmtId="0" fontId="14" fillId="0" borderId="26" xfId="0" applyFont="1" applyBorder="1"/>
    <xf numFmtId="0" fontId="13" fillId="0" borderId="14" xfId="0" applyFont="1" applyBorder="1" applyAlignment="1">
      <alignment horizontal="center"/>
    </xf>
    <xf numFmtId="0" fontId="13" fillId="0" borderId="40" xfId="0" applyFont="1" applyBorder="1" applyAlignment="1">
      <alignment horizontal="left"/>
    </xf>
    <xf numFmtId="0" fontId="14" fillId="0" borderId="15" xfId="0" applyFont="1" applyBorder="1" applyAlignment="1">
      <alignment horizontal="left"/>
    </xf>
    <xf numFmtId="0" fontId="14" fillId="0" borderId="15" xfId="0" applyFont="1" applyBorder="1"/>
    <xf numFmtId="0" fontId="14" fillId="0" borderId="23" xfId="0" applyFont="1" applyBorder="1"/>
    <xf numFmtId="0" fontId="13" fillId="0" borderId="5" xfId="0" applyNumberFormat="1" applyFont="1" applyBorder="1" applyAlignment="1">
      <alignment horizontal="left"/>
    </xf>
    <xf numFmtId="0" fontId="13" fillId="0" borderId="20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13" fillId="0" borderId="36" xfId="0" applyNumberFormat="1" applyFont="1" applyBorder="1" applyAlignment="1">
      <alignment horizontal="left"/>
    </xf>
    <xf numFmtId="0" fontId="13" fillId="0" borderId="38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left"/>
    </xf>
    <xf numFmtId="0" fontId="13" fillId="0" borderId="9" xfId="0" applyNumberFormat="1" applyFont="1" applyBorder="1" applyAlignment="1">
      <alignment horizontal="left"/>
    </xf>
    <xf numFmtId="0" fontId="14" fillId="0" borderId="9" xfId="0" applyFont="1" applyBorder="1"/>
    <xf numFmtId="0" fontId="14" fillId="0" borderId="1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4" fillId="0" borderId="0" xfId="0" applyFont="1" applyBorder="1"/>
    <xf numFmtId="0" fontId="4" fillId="0" borderId="1" xfId="0" applyFont="1" applyBorder="1"/>
    <xf numFmtId="0" fontId="4" fillId="0" borderId="0" xfId="0" applyFont="1" applyAlignment="1">
      <alignment horizontal="left"/>
    </xf>
    <xf numFmtId="0" fontId="1" fillId="0" borderId="0" xfId="0" applyFont="1"/>
    <xf numFmtId="0" fontId="22" fillId="0" borderId="48" xfId="0" applyFont="1" applyBorder="1"/>
    <xf numFmtId="0" fontId="6" fillId="0" borderId="48" xfId="0" applyFont="1" applyBorder="1" applyAlignment="1">
      <alignment horizontal="center"/>
    </xf>
    <xf numFmtId="0" fontId="36" fillId="0" borderId="48" xfId="0" applyNumberFormat="1" applyFont="1" applyBorder="1" applyAlignment="1">
      <alignment horizontal="right"/>
    </xf>
    <xf numFmtId="0" fontId="37" fillId="0" borderId="0" xfId="0" applyFont="1"/>
    <xf numFmtId="0" fontId="5" fillId="0" borderId="2" xfId="0" applyNumberFormat="1" applyFont="1" applyBorder="1" applyAlignment="1">
      <alignment horizontal="center" vertical="center"/>
    </xf>
    <xf numFmtId="0" fontId="6" fillId="0" borderId="61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0" fontId="5" fillId="0" borderId="34" xfId="0" applyNumberFormat="1" applyFont="1" applyBorder="1" applyAlignment="1">
      <alignment horizontal="center" vertical="center"/>
    </xf>
    <xf numFmtId="0" fontId="22" fillId="0" borderId="61" xfId="0" applyFont="1" applyBorder="1" applyAlignment="1">
      <alignment vertical="center"/>
    </xf>
    <xf numFmtId="0" fontId="38" fillId="0" borderId="62" xfId="0" applyFont="1" applyBorder="1" applyAlignment="1">
      <alignment horizontal="center" vertical="center"/>
    </xf>
    <xf numFmtId="0" fontId="6" fillId="0" borderId="63" xfId="0" applyNumberFormat="1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57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6" fillId="0" borderId="57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vertical="center"/>
    </xf>
    <xf numFmtId="4" fontId="5" fillId="0" borderId="5" xfId="0" applyNumberFormat="1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39" fillId="0" borderId="61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3" fontId="5" fillId="0" borderId="26" xfId="0" applyNumberFormat="1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Alignment="1">
      <alignment horizontal="center"/>
    </xf>
    <xf numFmtId="0" fontId="41" fillId="0" borderId="0" xfId="0" applyNumberFormat="1" applyFont="1" applyAlignment="1">
      <alignment horizontal="center"/>
    </xf>
    <xf numFmtId="0" fontId="42" fillId="0" borderId="0" xfId="0" applyFont="1"/>
    <xf numFmtId="0" fontId="42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5" fillId="0" borderId="0" xfId="0" applyNumberFormat="1" applyFont="1"/>
    <xf numFmtId="0" fontId="13" fillId="0" borderId="64" xfId="0" applyFont="1" applyBorder="1" applyAlignment="1">
      <alignment horizontal="left"/>
    </xf>
    <xf numFmtId="0" fontId="13" fillId="0" borderId="65" xfId="0" applyFont="1" applyBorder="1"/>
    <xf numFmtId="0" fontId="13" fillId="0" borderId="66" xfId="0" applyFont="1" applyBorder="1"/>
    <xf numFmtId="0" fontId="13" fillId="0" borderId="66" xfId="0" applyNumberFormat="1" applyFont="1" applyBorder="1" applyAlignment="1">
      <alignment horizontal="center"/>
    </xf>
    <xf numFmtId="0" fontId="13" fillId="0" borderId="67" xfId="0" applyNumberFormat="1" applyFont="1" applyBorder="1" applyAlignment="1">
      <alignment horizontal="center"/>
    </xf>
    <xf numFmtId="0" fontId="13" fillId="0" borderId="68" xfId="0" applyFont="1" applyBorder="1"/>
    <xf numFmtId="0" fontId="13" fillId="0" borderId="69" xfId="0" applyNumberFormat="1" applyFont="1" applyBorder="1" applyAlignment="1">
      <alignment horizontal="center"/>
    </xf>
    <xf numFmtId="0" fontId="2" fillId="0" borderId="70" xfId="0" applyFont="1" applyBorder="1" applyAlignment="1">
      <alignment horizontal="center"/>
    </xf>
    <xf numFmtId="0" fontId="2" fillId="0" borderId="71" xfId="0" applyFont="1" applyBorder="1"/>
    <xf numFmtId="0" fontId="2" fillId="0" borderId="66" xfId="0" applyFont="1" applyBorder="1" applyAlignment="1">
      <alignment horizontal="center"/>
    </xf>
    <xf numFmtId="0" fontId="2" fillId="0" borderId="67" xfId="0" applyFont="1" applyBorder="1"/>
    <xf numFmtId="0" fontId="2" fillId="0" borderId="72" xfId="0" applyFont="1" applyBorder="1" applyAlignment="1">
      <alignment horizontal="center"/>
    </xf>
    <xf numFmtId="0" fontId="11" fillId="0" borderId="73" xfId="0" applyNumberFormat="1" applyFont="1" applyBorder="1" applyAlignment="1">
      <alignment horizontal="right"/>
    </xf>
    <xf numFmtId="0" fontId="13" fillId="0" borderId="74" xfId="0" applyNumberFormat="1" applyFont="1" applyBorder="1"/>
    <xf numFmtId="0" fontId="2" fillId="1" borderId="72" xfId="0" applyFont="1" applyFill="1" applyBorder="1" applyAlignment="1">
      <alignment horizontal="center"/>
    </xf>
    <xf numFmtId="0" fontId="2" fillId="1" borderId="73" xfId="0" applyFont="1" applyFill="1" applyBorder="1"/>
    <xf numFmtId="0" fontId="13" fillId="0" borderId="67" xfId="0" applyNumberFormat="1" applyFont="1" applyBorder="1"/>
    <xf numFmtId="0" fontId="2" fillId="0" borderId="75" xfId="0" applyFont="1" applyBorder="1" applyAlignment="1">
      <alignment horizontal="center"/>
    </xf>
    <xf numFmtId="0" fontId="13" fillId="0" borderId="76" xfId="0" applyNumberFormat="1" applyFont="1" applyFill="1" applyBorder="1"/>
    <xf numFmtId="0" fontId="0" fillId="0" borderId="76" xfId="0" applyBorder="1"/>
    <xf numFmtId="0" fontId="0" fillId="0" borderId="77" xfId="0" applyBorder="1"/>
    <xf numFmtId="0" fontId="2" fillId="0" borderId="73" xfId="0" applyFont="1" applyBorder="1"/>
    <xf numFmtId="0" fontId="13" fillId="0" borderId="73" xfId="0" applyNumberFormat="1" applyFont="1" applyBorder="1"/>
    <xf numFmtId="0" fontId="2" fillId="1" borderId="78" xfId="0" applyFont="1" applyFill="1" applyBorder="1" applyAlignment="1">
      <alignment horizontal="center"/>
    </xf>
    <xf numFmtId="0" fontId="11" fillId="1" borderId="79" xfId="0" applyFont="1" applyFill="1" applyBorder="1" applyAlignment="1">
      <alignment horizontal="right"/>
    </xf>
    <xf numFmtId="0" fontId="2" fillId="1" borderId="80" xfId="0" applyFont="1" applyFill="1" applyBorder="1"/>
    <xf numFmtId="0" fontId="2" fillId="1" borderId="81" xfId="0" applyFont="1" applyFill="1" applyBorder="1"/>
    <xf numFmtId="0" fontId="5" fillId="0" borderId="48" xfId="0" applyNumberFormat="1" applyFont="1" applyBorder="1" applyAlignment="1">
      <alignment horizontal="right"/>
    </xf>
    <xf numFmtId="0" fontId="5" fillId="0" borderId="5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6" fillId="0" borderId="0" xfId="0" applyNumberFormat="1" applyFont="1" applyAlignment="1"/>
    <xf numFmtId="0" fontId="45" fillId="0" borderId="0" xfId="0" applyFont="1" applyAlignment="1">
      <alignment horizontal="center"/>
    </xf>
    <xf numFmtId="0" fontId="45" fillId="0" borderId="0" xfId="0" applyFont="1"/>
    <xf numFmtId="0" fontId="2" fillId="0" borderId="12" xfId="0" applyFont="1" applyBorder="1" applyAlignment="1">
      <alignment horizontal="center"/>
    </xf>
    <xf numFmtId="0" fontId="9" fillId="0" borderId="12" xfId="0" applyNumberFormat="1" applyFont="1" applyBorder="1" applyAlignment="1">
      <alignment horizontal="center" vertical="center"/>
    </xf>
    <xf numFmtId="0" fontId="9" fillId="0" borderId="22" xfId="0" applyNumberFormat="1" applyFont="1" applyBorder="1" applyAlignment="1">
      <alignment horizontal="center" vertical="center"/>
    </xf>
    <xf numFmtId="0" fontId="9" fillId="0" borderId="14" xfId="0" applyNumberFormat="1" applyFont="1" applyBorder="1" applyAlignment="1">
      <alignment horizontal="center" vertical="center"/>
    </xf>
    <xf numFmtId="0" fontId="9" fillId="0" borderId="15" xfId="0" applyNumberFormat="1" applyFont="1" applyBorder="1" applyAlignment="1">
      <alignment horizontal="center" vertical="center"/>
    </xf>
    <xf numFmtId="0" fontId="9" fillId="0" borderId="23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50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/>
    </xf>
    <xf numFmtId="0" fontId="22" fillId="0" borderId="30" xfId="0" applyFont="1" applyBorder="1" applyAlignment="1">
      <alignment horizontal="center"/>
    </xf>
    <xf numFmtId="0" fontId="2" fillId="0" borderId="30" xfId="0" applyNumberFormat="1" applyFont="1" applyBorder="1"/>
    <xf numFmtId="0" fontId="22" fillId="0" borderId="30" xfId="0" applyFont="1" applyBorder="1"/>
    <xf numFmtId="0" fontId="22" fillId="0" borderId="31" xfId="0" applyFont="1" applyBorder="1"/>
    <xf numFmtId="0" fontId="22" fillId="0" borderId="18" xfId="0" applyFont="1" applyBorder="1" applyAlignment="1">
      <alignment horizontal="center"/>
    </xf>
    <xf numFmtId="0" fontId="22" fillId="0" borderId="19" xfId="0" applyFont="1" applyBorder="1"/>
    <xf numFmtId="0" fontId="2" fillId="0" borderId="6" xfId="0" applyNumberFormat="1" applyFont="1" applyBorder="1"/>
    <xf numFmtId="0" fontId="22" fillId="0" borderId="6" xfId="0" applyFont="1" applyBorder="1" applyAlignment="1">
      <alignment horizontal="center"/>
    </xf>
    <xf numFmtId="0" fontId="22" fillId="0" borderId="7" xfId="0" applyFont="1" applyBorder="1"/>
    <xf numFmtId="0" fontId="22" fillId="2" borderId="21" xfId="0" applyFont="1" applyFill="1" applyBorder="1" applyAlignment="1">
      <alignment horizontal="center"/>
    </xf>
    <xf numFmtId="0" fontId="22" fillId="2" borderId="21" xfId="0" applyFont="1" applyFill="1" applyBorder="1"/>
    <xf numFmtId="0" fontId="22" fillId="2" borderId="32" xfId="0" applyFont="1" applyFill="1" applyBorder="1"/>
    <xf numFmtId="0" fontId="9" fillId="0" borderId="24" xfId="0" applyNumberFormat="1" applyFont="1" applyBorder="1" applyAlignment="1">
      <alignment horizontal="left"/>
    </xf>
    <xf numFmtId="0" fontId="22" fillId="0" borderId="49" xfId="0" applyFont="1" applyBorder="1"/>
    <xf numFmtId="0" fontId="22" fillId="0" borderId="9" xfId="0" applyFont="1" applyBorder="1"/>
    <xf numFmtId="0" fontId="22" fillId="0" borderId="1" xfId="0" applyFont="1" applyBorder="1"/>
    <xf numFmtId="3" fontId="2" fillId="0" borderId="5" xfId="0" applyNumberFormat="1" applyFont="1" applyBorder="1"/>
    <xf numFmtId="3" fontId="2" fillId="0" borderId="6" xfId="0" applyNumberFormat="1" applyFont="1" applyBorder="1"/>
    <xf numFmtId="3" fontId="2" fillId="0" borderId="7" xfId="0" applyNumberFormat="1" applyFont="1" applyBorder="1"/>
    <xf numFmtId="3" fontId="2" fillId="0" borderId="25" xfId="0" applyNumberFormat="1" applyFont="1" applyBorder="1"/>
    <xf numFmtId="3" fontId="2" fillId="0" borderId="17" xfId="0" applyNumberFormat="1" applyFont="1" applyBorder="1"/>
    <xf numFmtId="3" fontId="2" fillId="0" borderId="18" xfId="0" applyNumberFormat="1" applyFont="1" applyBorder="1"/>
    <xf numFmtId="3" fontId="2" fillId="0" borderId="19" xfId="0" applyNumberFormat="1" applyFont="1" applyBorder="1"/>
    <xf numFmtId="3" fontId="2" fillId="0" borderId="8" xfId="0" applyNumberFormat="1" applyFont="1" applyBorder="1"/>
    <xf numFmtId="3" fontId="2" fillId="0" borderId="9" xfId="0" applyNumberFormat="1" applyFont="1" applyBorder="1"/>
    <xf numFmtId="3" fontId="2" fillId="0" borderId="10" xfId="0" applyNumberFormat="1" applyFont="1" applyBorder="1"/>
    <xf numFmtId="3" fontId="2" fillId="0" borderId="3" xfId="0" applyNumberFormat="1" applyFont="1" applyBorder="1"/>
    <xf numFmtId="9" fontId="2" fillId="0" borderId="21" xfId="1" applyFont="1" applyBorder="1" applyAlignment="1">
      <alignment horizontal="center"/>
    </xf>
    <xf numFmtId="10" fontId="2" fillId="0" borderId="6" xfId="1" applyNumberFormat="1" applyFont="1" applyBorder="1"/>
    <xf numFmtId="2" fontId="2" fillId="0" borderId="6" xfId="0" applyNumberFormat="1" applyFont="1" applyBorder="1"/>
    <xf numFmtId="2" fontId="2" fillId="0" borderId="7" xfId="0" applyNumberFormat="1" applyFont="1" applyBorder="1"/>
    <xf numFmtId="0" fontId="23" fillId="0" borderId="15" xfId="0" applyNumberFormat="1" applyFont="1" applyBorder="1" applyAlignment="1">
      <alignment vertical="center"/>
    </xf>
    <xf numFmtId="0" fontId="22" fillId="0" borderId="18" xfId="0" applyFont="1" applyFill="1" applyBorder="1"/>
    <xf numFmtId="0" fontId="22" fillId="0" borderId="6" xfId="0" applyFont="1" applyFill="1" applyBorder="1"/>
    <xf numFmtId="0" fontId="13" fillId="0" borderId="40" xfId="0" applyNumberFormat="1" applyFont="1" applyFill="1" applyBorder="1"/>
    <xf numFmtId="3" fontId="5" fillId="0" borderId="7" xfId="0" applyNumberFormat="1" applyFont="1" applyBorder="1" applyAlignment="1">
      <alignment vertical="center"/>
    </xf>
    <xf numFmtId="1" fontId="5" fillId="0" borderId="26" xfId="0" applyNumberFormat="1" applyFont="1" applyBorder="1" applyAlignment="1">
      <alignment vertical="center"/>
    </xf>
    <xf numFmtId="0" fontId="2" fillId="0" borderId="6" xfId="0" applyFont="1" applyFill="1" applyBorder="1"/>
    <xf numFmtId="0" fontId="2" fillId="0" borderId="7" xfId="0" applyFont="1" applyFill="1" applyBorder="1"/>
    <xf numFmtId="1" fontId="2" fillId="0" borderId="15" xfId="0" applyNumberFormat="1" applyFont="1" applyBorder="1"/>
    <xf numFmtId="1" fontId="2" fillId="0" borderId="6" xfId="0" applyNumberFormat="1" applyFont="1" applyBorder="1"/>
    <xf numFmtId="0" fontId="14" fillId="1" borderId="6" xfId="0" applyFont="1" applyFill="1" applyBorder="1"/>
    <xf numFmtId="49" fontId="17" fillId="0" borderId="18" xfId="0" applyNumberFormat="1" applyFont="1" applyBorder="1" applyAlignment="1">
      <alignment horizontal="center"/>
    </xf>
    <xf numFmtId="0" fontId="17" fillId="0" borderId="18" xfId="0" applyNumberFormat="1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7" fillId="0" borderId="1" xfId="0" applyFont="1" applyBorder="1" applyAlignment="1">
      <alignment horizontal="right"/>
    </xf>
    <xf numFmtId="0" fontId="28" fillId="0" borderId="0" xfId="0" applyFont="1" applyBorder="1"/>
    <xf numFmtId="0" fontId="3" fillId="0" borderId="0" xfId="0" applyFont="1" applyBorder="1" applyAlignment="1">
      <alignment horizontal="center"/>
    </xf>
    <xf numFmtId="0" fontId="24" fillId="0" borderId="0" xfId="0" applyFont="1" applyBorder="1"/>
    <xf numFmtId="0" fontId="26" fillId="0" borderId="0" xfId="0" applyFont="1" applyBorder="1"/>
    <xf numFmtId="0" fontId="22" fillId="0" borderId="0" xfId="0" applyFont="1" applyBorder="1"/>
    <xf numFmtId="4" fontId="22" fillId="0" borderId="0" xfId="0" applyNumberFormat="1" applyFont="1" applyBorder="1"/>
    <xf numFmtId="0" fontId="35" fillId="0" borderId="0" xfId="0" applyFont="1" applyBorder="1"/>
    <xf numFmtId="0" fontId="17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/>
    <xf numFmtId="3" fontId="14" fillId="0" borderId="15" xfId="0" applyNumberFormat="1" applyFont="1" applyBorder="1"/>
    <xf numFmtId="3" fontId="35" fillId="0" borderId="0" xfId="0" applyNumberFormat="1" applyFont="1"/>
    <xf numFmtId="3" fontId="19" fillId="0" borderId="0" xfId="0" applyNumberFormat="1" applyFont="1"/>
    <xf numFmtId="3" fontId="35" fillId="0" borderId="0" xfId="0" applyNumberFormat="1" applyFont="1" applyBorder="1"/>
    <xf numFmtId="3" fontId="0" fillId="0" borderId="0" xfId="0" applyNumberFormat="1"/>
    <xf numFmtId="3" fontId="2" fillId="0" borderId="15" xfId="0" applyNumberFormat="1" applyFont="1" applyBorder="1"/>
    <xf numFmtId="3" fontId="11" fillId="0" borderId="6" xfId="0" applyNumberFormat="1" applyFont="1" applyBorder="1" applyAlignment="1">
      <alignment horizontal="right"/>
    </xf>
    <xf numFmtId="0" fontId="14" fillId="0" borderId="15" xfId="0" applyNumberFormat="1" applyFont="1" applyFill="1" applyBorder="1"/>
    <xf numFmtId="0" fontId="2" fillId="0" borderId="15" xfId="0" applyFont="1" applyFill="1" applyBorder="1"/>
    <xf numFmtId="1" fontId="14" fillId="0" borderId="15" xfId="0" applyNumberFormat="1" applyFont="1" applyFill="1" applyBorder="1"/>
    <xf numFmtId="1" fontId="11" fillId="0" borderId="6" xfId="0" applyNumberFormat="1" applyFont="1" applyFill="1" applyBorder="1" applyAlignment="1">
      <alignment horizontal="right"/>
    </xf>
    <xf numFmtId="0" fontId="11" fillId="0" borderId="6" xfId="0" applyNumberFormat="1" applyFont="1" applyFill="1" applyBorder="1" applyAlignment="1">
      <alignment horizontal="right"/>
    </xf>
    <xf numFmtId="3" fontId="0" fillId="4" borderId="0" xfId="0" applyNumberFormat="1" applyFill="1"/>
    <xf numFmtId="3" fontId="22" fillId="0" borderId="0" xfId="0" applyNumberFormat="1" applyFont="1" applyBorder="1"/>
    <xf numFmtId="0" fontId="11" fillId="0" borderId="40" xfId="0" applyNumberFormat="1" applyFont="1" applyFill="1" applyBorder="1" applyAlignment="1">
      <alignment horizontal="right"/>
    </xf>
    <xf numFmtId="1" fontId="2" fillId="0" borderId="6" xfId="0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vertical="center"/>
    </xf>
    <xf numFmtId="0" fontId="0" fillId="6" borderId="0" xfId="0" applyFill="1"/>
    <xf numFmtId="1" fontId="0" fillId="0" borderId="0" xfId="0" applyNumberFormat="1"/>
    <xf numFmtId="3" fontId="22" fillId="0" borderId="0" xfId="0" applyNumberFormat="1" applyFont="1"/>
    <xf numFmtId="0" fontId="13" fillId="0" borderId="15" xfId="0" applyNumberFormat="1" applyFont="1" applyFill="1" applyBorder="1" applyAlignment="1">
      <alignment horizontal="center"/>
    </xf>
    <xf numFmtId="0" fontId="46" fillId="0" borderId="0" xfId="0" applyFont="1"/>
    <xf numFmtId="0" fontId="35" fillId="6" borderId="0" xfId="0" applyFont="1" applyFill="1"/>
    <xf numFmtId="0" fontId="17" fillId="0" borderId="6" xfId="0" applyFont="1" applyFill="1" applyBorder="1" applyAlignment="1">
      <alignment horizontal="center"/>
    </xf>
    <xf numFmtId="0" fontId="17" fillId="0" borderId="21" xfId="0" applyFont="1" applyFill="1" applyBorder="1" applyAlignment="1"/>
    <xf numFmtId="0" fontId="23" fillId="0" borderId="6" xfId="0" applyNumberFormat="1" applyFont="1" applyFill="1" applyBorder="1" applyAlignment="1">
      <alignment horizontal="center"/>
    </xf>
    <xf numFmtId="0" fontId="17" fillId="0" borderId="6" xfId="0" applyNumberFormat="1" applyFont="1" applyFill="1" applyBorder="1" applyAlignment="1"/>
    <xf numFmtId="3" fontId="1" fillId="0" borderId="0" xfId="0" applyNumberFormat="1" applyFont="1"/>
    <xf numFmtId="1" fontId="2" fillId="0" borderId="15" xfId="0" applyNumberFormat="1" applyFont="1" applyFill="1" applyBorder="1"/>
    <xf numFmtId="3" fontId="2" fillId="0" borderId="15" xfId="0" applyNumberFormat="1" applyFont="1" applyFill="1" applyBorder="1"/>
    <xf numFmtId="0" fontId="4" fillId="0" borderId="0" xfId="0" applyFont="1" applyFill="1"/>
    <xf numFmtId="0" fontId="16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6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/>
    </xf>
    <xf numFmtId="0" fontId="47" fillId="0" borderId="0" xfId="0" applyFont="1" applyAlignment="1">
      <alignment horizontal="left"/>
    </xf>
    <xf numFmtId="0" fontId="47" fillId="0" borderId="0" xfId="0" applyFont="1" applyAlignment="1">
      <alignment horizontal="right"/>
    </xf>
    <xf numFmtId="3" fontId="17" fillId="0" borderId="6" xfId="0" applyNumberFormat="1" applyFont="1" applyFill="1" applyBorder="1"/>
    <xf numFmtId="0" fontId="13" fillId="0" borderId="12" xfId="0" applyNumberFormat="1" applyFont="1" applyBorder="1" applyAlignment="1">
      <alignment horizontal="center"/>
    </xf>
    <xf numFmtId="0" fontId="35" fillId="0" borderId="0" xfId="0" applyFont="1" applyAlignment="1">
      <alignment horizontal="right"/>
    </xf>
    <xf numFmtId="0" fontId="11" fillId="0" borderId="0" xfId="0" applyNumberFormat="1" applyFont="1" applyFill="1" applyBorder="1" applyAlignment="1">
      <alignment horizontal="right"/>
    </xf>
    <xf numFmtId="0" fontId="3" fillId="0" borderId="90" xfId="0" applyFont="1" applyBorder="1" applyAlignment="1">
      <alignment horizontal="left"/>
    </xf>
    <xf numFmtId="0" fontId="0" fillId="0" borderId="91" xfId="0" applyBorder="1"/>
    <xf numFmtId="0" fontId="0" fillId="0" borderId="92" xfId="0" applyBorder="1"/>
    <xf numFmtId="3" fontId="11" fillId="0" borderId="73" xfId="0" applyNumberFormat="1" applyFont="1" applyBorder="1" applyAlignment="1">
      <alignment horizontal="right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14" fillId="0" borderId="21" xfId="0" applyFont="1" applyFill="1" applyBorder="1"/>
    <xf numFmtId="0" fontId="14" fillId="0" borderId="6" xfId="0" applyFont="1" applyFill="1" applyBorder="1"/>
    <xf numFmtId="3" fontId="5" fillId="0" borderId="5" xfId="0" applyNumberFormat="1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vertical="center"/>
    </xf>
    <xf numFmtId="1" fontId="5" fillId="0" borderId="6" xfId="0" applyNumberFormat="1" applyFont="1" applyBorder="1" applyAlignment="1">
      <alignment vertical="center"/>
    </xf>
    <xf numFmtId="1" fontId="5" fillId="0" borderId="5" xfId="0" applyNumberFormat="1" applyFont="1" applyBorder="1" applyAlignment="1">
      <alignment vertical="center"/>
    </xf>
    <xf numFmtId="1" fontId="5" fillId="0" borderId="25" xfId="0" applyNumberFormat="1" applyFont="1" applyBorder="1" applyAlignment="1">
      <alignment vertical="center"/>
    </xf>
    <xf numFmtId="0" fontId="48" fillId="0" borderId="0" xfId="0" applyFont="1"/>
    <xf numFmtId="3" fontId="49" fillId="0" borderId="5" xfId="0" applyNumberFormat="1" applyFont="1" applyBorder="1" applyAlignment="1">
      <alignment vertical="center"/>
    </xf>
    <xf numFmtId="0" fontId="49" fillId="0" borderId="6" xfId="0" applyFont="1" applyBorder="1" applyAlignment="1">
      <alignment vertical="center"/>
    </xf>
    <xf numFmtId="0" fontId="49" fillId="0" borderId="7" xfId="0" applyFont="1" applyBorder="1" applyAlignment="1">
      <alignment vertical="center"/>
    </xf>
    <xf numFmtId="3" fontId="49" fillId="0" borderId="5" xfId="0" applyNumberFormat="1" applyFont="1" applyFill="1" applyBorder="1" applyAlignment="1">
      <alignment vertical="center"/>
    </xf>
    <xf numFmtId="0" fontId="49" fillId="0" borderId="6" xfId="0" applyFont="1" applyFill="1" applyBorder="1" applyAlignment="1">
      <alignment vertical="center"/>
    </xf>
    <xf numFmtId="3" fontId="49" fillId="0" borderId="7" xfId="0" applyNumberFormat="1" applyFont="1" applyBorder="1" applyAlignment="1">
      <alignment vertical="center"/>
    </xf>
    <xf numFmtId="3" fontId="49" fillId="0" borderId="14" xfId="0" applyNumberFormat="1" applyFont="1" applyBorder="1" applyAlignment="1">
      <alignment vertical="center"/>
    </xf>
    <xf numFmtId="3" fontId="48" fillId="0" borderId="0" xfId="0" applyNumberFormat="1" applyFont="1"/>
    <xf numFmtId="1" fontId="22" fillId="0" borderId="0" xfId="0" applyNumberFormat="1" applyFont="1"/>
    <xf numFmtId="1" fontId="13" fillId="0" borderId="15" xfId="0" applyNumberFormat="1" applyFont="1" applyBorder="1"/>
    <xf numFmtId="0" fontId="9" fillId="0" borderId="15" xfId="0" applyNumberFormat="1" applyFont="1" applyBorder="1"/>
    <xf numFmtId="1" fontId="2" fillId="0" borderId="23" xfId="0" applyNumberFormat="1" applyFont="1" applyBorder="1" applyAlignment="1">
      <alignment vertical="center"/>
    </xf>
    <xf numFmtId="0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3" fillId="0" borderId="18" xfId="0" applyNumberFormat="1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12" xfId="0" applyNumberFormat="1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3" fillId="0" borderId="82" xfId="0" applyFont="1" applyBorder="1" applyAlignment="1">
      <alignment horizontal="center"/>
    </xf>
    <xf numFmtId="0" fontId="13" fillId="0" borderId="65" xfId="0" applyNumberFormat="1" applyFont="1" applyBorder="1" applyAlignment="1">
      <alignment horizontal="center"/>
    </xf>
    <xf numFmtId="0" fontId="13" fillId="0" borderId="65" xfId="0" applyFont="1" applyBorder="1" applyAlignment="1">
      <alignment horizontal="center"/>
    </xf>
    <xf numFmtId="0" fontId="13" fillId="0" borderId="83" xfId="0" applyFont="1" applyBorder="1" applyAlignment="1">
      <alignment horizontal="center"/>
    </xf>
    <xf numFmtId="0" fontId="3" fillId="4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40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17" fillId="0" borderId="21" xfId="0" applyFont="1" applyFill="1" applyBorder="1" applyAlignment="1">
      <alignment horizontal="center"/>
    </xf>
    <xf numFmtId="0" fontId="17" fillId="0" borderId="18" xfId="0" applyFont="1" applyFill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1" fillId="0" borderId="20" xfId="0" applyFont="1" applyBorder="1" applyAlignment="1">
      <alignment horizontal="left"/>
    </xf>
    <xf numFmtId="0" fontId="31" fillId="0" borderId="45" xfId="0" applyFont="1" applyBorder="1" applyAlignment="1">
      <alignment horizontal="left"/>
    </xf>
    <xf numFmtId="0" fontId="23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1" fillId="0" borderId="20" xfId="0" applyFont="1" applyBorder="1" applyAlignment="1">
      <alignment horizontal="left"/>
    </xf>
    <xf numFmtId="0" fontId="21" fillId="0" borderId="45" xfId="0" applyFont="1" applyBorder="1" applyAlignment="1">
      <alignment horizontal="left"/>
    </xf>
    <xf numFmtId="0" fontId="18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13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3" fillId="0" borderId="20" xfId="0" applyNumberFormat="1" applyFont="1" applyBorder="1" applyAlignment="1">
      <alignment horizontal="center"/>
    </xf>
    <xf numFmtId="0" fontId="13" fillId="0" borderId="45" xfId="0" applyNumberFormat="1" applyFont="1" applyBorder="1" applyAlignment="1">
      <alignment horizontal="center"/>
    </xf>
    <xf numFmtId="0" fontId="13" fillId="0" borderId="40" xfId="0" applyFont="1" applyBorder="1" applyAlignment="1">
      <alignment horizontal="center" vertical="center"/>
    </xf>
    <xf numFmtId="0" fontId="16" fillId="0" borderId="41" xfId="0" applyFont="1" applyBorder="1"/>
    <xf numFmtId="0" fontId="13" fillId="0" borderId="42" xfId="0" applyFont="1" applyBorder="1" applyAlignment="1">
      <alignment horizontal="center" vertical="center"/>
    </xf>
    <xf numFmtId="0" fontId="16" fillId="0" borderId="43" xfId="0" applyFont="1" applyBorder="1"/>
    <xf numFmtId="0" fontId="13" fillId="0" borderId="84" xfId="0" applyNumberFormat="1" applyFont="1" applyBorder="1" applyAlignment="1">
      <alignment horizontal="left"/>
    </xf>
    <xf numFmtId="0" fontId="13" fillId="0" borderId="51" xfId="0" applyFont="1" applyBorder="1" applyAlignment="1">
      <alignment horizontal="left"/>
    </xf>
    <xf numFmtId="0" fontId="14" fillId="0" borderId="13" xfId="0" applyNumberFormat="1" applyFont="1" applyBorder="1" applyAlignment="1">
      <alignment horizontal="center" vertical="center"/>
    </xf>
    <xf numFmtId="0" fontId="16" fillId="0" borderId="39" xfId="0" applyFont="1" applyBorder="1"/>
    <xf numFmtId="0" fontId="13" fillId="0" borderId="40" xfId="0" applyNumberFormat="1" applyFont="1" applyBorder="1" applyAlignment="1">
      <alignment horizontal="center" vertical="center"/>
    </xf>
    <xf numFmtId="0" fontId="40" fillId="0" borderId="58" xfId="0" applyNumberFormat="1" applyFont="1" applyBorder="1" applyAlignment="1">
      <alignment horizontal="center" vertical="center"/>
    </xf>
    <xf numFmtId="0" fontId="40" fillId="0" borderId="8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48" xfId="0" applyNumberFormat="1" applyFont="1" applyBorder="1" applyAlignment="1">
      <alignment horizontal="right"/>
    </xf>
    <xf numFmtId="0" fontId="6" fillId="0" borderId="48" xfId="0" applyFont="1" applyBorder="1" applyAlignment="1">
      <alignment horizontal="right"/>
    </xf>
    <xf numFmtId="0" fontId="6" fillId="0" borderId="36" xfId="0" applyNumberFormat="1" applyFont="1" applyBorder="1" applyAlignment="1">
      <alignment horizontal="center" vertical="center"/>
    </xf>
    <xf numFmtId="0" fontId="6" fillId="0" borderId="46" xfId="0" applyNumberFormat="1" applyFont="1" applyBorder="1" applyAlignment="1">
      <alignment horizontal="center" vertical="center"/>
    </xf>
    <xf numFmtId="0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3" fillId="0" borderId="0" xfId="0" applyNumberFormat="1" applyFont="1" applyAlignment="1">
      <alignment horizontal="center"/>
    </xf>
    <xf numFmtId="0" fontId="43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9" fillId="0" borderId="39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3" fillId="0" borderId="12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5" xfId="0" applyNumberFormat="1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13" fillId="0" borderId="86" xfId="0" applyNumberFormat="1" applyFont="1" applyBorder="1" applyAlignment="1">
      <alignment horizontal="center" vertical="center"/>
    </xf>
    <xf numFmtId="0" fontId="9" fillId="0" borderId="85" xfId="0" applyFont="1" applyBorder="1" applyAlignment="1">
      <alignment horizontal="center" vertical="center"/>
    </xf>
    <xf numFmtId="0" fontId="11" fillId="0" borderId="87" xfId="0" applyNumberFormat="1" applyFont="1" applyBorder="1" applyAlignment="1">
      <alignment horizontal="center"/>
    </xf>
    <xf numFmtId="0" fontId="11" fillId="0" borderId="87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0" borderId="62" xfId="0" applyNumberFormat="1" applyFont="1" applyBorder="1" applyAlignment="1">
      <alignment horizontal="center"/>
    </xf>
    <xf numFmtId="0" fontId="9" fillId="0" borderId="88" xfId="0" applyFont="1" applyBorder="1" applyAlignment="1">
      <alignment horizontal="center"/>
    </xf>
    <xf numFmtId="0" fontId="9" fillId="0" borderId="89" xfId="0" applyFont="1" applyBorder="1" applyAlignment="1">
      <alignment horizontal="center"/>
    </xf>
    <xf numFmtId="0" fontId="13" fillId="0" borderId="58" xfId="0" applyNumberFormat="1" applyFont="1" applyBorder="1" applyAlignment="1">
      <alignment horizontal="center"/>
    </xf>
    <xf numFmtId="0" fontId="9" fillId="0" borderId="59" xfId="0" applyFont="1" applyBorder="1" applyAlignment="1">
      <alignment horizontal="center"/>
    </xf>
    <xf numFmtId="0" fontId="9" fillId="0" borderId="85" xfId="0" applyFont="1" applyBorder="1" applyAlignment="1">
      <alignment horizontal="center"/>
    </xf>
    <xf numFmtId="0" fontId="13" fillId="0" borderId="59" xfId="0" applyNumberFormat="1" applyFont="1" applyBorder="1" applyAlignment="1">
      <alignment horizontal="center"/>
    </xf>
    <xf numFmtId="0" fontId="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5" fillId="0" borderId="36" xfId="0" applyNumberFormat="1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3" fillId="0" borderId="30" xfId="0" applyNumberFormat="1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5" fillId="0" borderId="62" xfId="0" applyNumberFormat="1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</cellXfs>
  <cellStyles count="2">
    <cellStyle name="Нормален" xfId="0" builtinId="0"/>
    <cellStyle name="Процент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workbookViewId="0">
      <selection activeCell="C23" sqref="C23"/>
    </sheetView>
  </sheetViews>
  <sheetFormatPr defaultRowHeight="12.75"/>
  <cols>
    <col min="1" max="1" width="10.85546875" customWidth="1"/>
    <col min="2" max="2" width="4.42578125" customWidth="1"/>
    <col min="3" max="3" width="72.5703125" customWidth="1"/>
  </cols>
  <sheetData>
    <row r="1" spans="1:3" s="90" customFormat="1" ht="16.899999999999999" customHeight="1">
      <c r="A1" s="604" t="s">
        <v>6</v>
      </c>
      <c r="B1" s="605"/>
      <c r="C1" s="605"/>
    </row>
    <row r="2" spans="1:3" s="90" customFormat="1" ht="16.899999999999999" customHeight="1"/>
    <row r="3" spans="1:3" s="90" customFormat="1" ht="16.899999999999999" customHeight="1">
      <c r="A3" s="150" t="s">
        <v>234</v>
      </c>
      <c r="B3" s="119"/>
      <c r="C3" s="150" t="s">
        <v>7</v>
      </c>
    </row>
    <row r="4" spans="1:3" s="90" customFormat="1" ht="16.899999999999999" customHeight="1">
      <c r="A4" s="120">
        <v>1</v>
      </c>
      <c r="B4" s="120"/>
      <c r="C4" s="151" t="s">
        <v>8</v>
      </c>
    </row>
    <row r="5" spans="1:3" s="90" customFormat="1" ht="16.899999999999999" customHeight="1">
      <c r="A5" s="120">
        <v>2</v>
      </c>
      <c r="B5" s="120"/>
      <c r="C5" s="151" t="s">
        <v>9</v>
      </c>
    </row>
    <row r="6" spans="1:3" s="90" customFormat="1" ht="16.899999999999999" customHeight="1">
      <c r="A6" s="152" t="s">
        <v>4</v>
      </c>
      <c r="B6" s="120"/>
      <c r="C6" s="151" t="s">
        <v>10</v>
      </c>
    </row>
    <row r="7" spans="1:3" s="90" customFormat="1" ht="16.899999999999999" customHeight="1">
      <c r="A7" s="152" t="s">
        <v>231</v>
      </c>
      <c r="B7" s="120"/>
      <c r="C7" s="151" t="s">
        <v>11</v>
      </c>
    </row>
    <row r="8" spans="1:3" s="90" customFormat="1" ht="16.899999999999999" customHeight="1">
      <c r="A8" s="152" t="s">
        <v>12</v>
      </c>
      <c r="B8" s="120"/>
      <c r="C8" s="151" t="s">
        <v>13</v>
      </c>
    </row>
    <row r="9" spans="1:3" s="571" customFormat="1" ht="16.899999999999999" customHeight="1">
      <c r="A9" s="568" t="s">
        <v>5</v>
      </c>
      <c r="B9" s="569"/>
      <c r="C9" s="570" t="s">
        <v>407</v>
      </c>
    </row>
    <row r="10" spans="1:3" s="571" customFormat="1" ht="16.899999999999999" customHeight="1">
      <c r="A10" s="568" t="s">
        <v>232</v>
      </c>
      <c r="B10" s="569"/>
      <c r="C10" s="570" t="s">
        <v>410</v>
      </c>
    </row>
    <row r="11" spans="1:3" s="571" customFormat="1" ht="16.899999999999999" customHeight="1">
      <c r="A11" s="568" t="s">
        <v>14</v>
      </c>
      <c r="B11" s="569"/>
      <c r="C11" s="570" t="s">
        <v>409</v>
      </c>
    </row>
    <row r="12" spans="1:3" s="571" customFormat="1" ht="16.899999999999999" customHeight="1">
      <c r="A12" s="568" t="s">
        <v>233</v>
      </c>
      <c r="B12" s="569"/>
      <c r="C12" s="570" t="s">
        <v>408</v>
      </c>
    </row>
    <row r="13" spans="1:3" s="571" customFormat="1" ht="16.899999999999999" customHeight="1">
      <c r="A13" s="568" t="s">
        <v>15</v>
      </c>
      <c r="B13" s="569"/>
      <c r="C13" s="570" t="s">
        <v>413</v>
      </c>
    </row>
    <row r="14" spans="1:3" s="90" customFormat="1" ht="16.899999999999999" customHeight="1">
      <c r="A14" s="152" t="s">
        <v>16</v>
      </c>
      <c r="B14" s="120"/>
      <c r="C14" s="151" t="s">
        <v>258</v>
      </c>
    </row>
    <row r="15" spans="1:3" s="90" customFormat="1" ht="16.899999999999999" customHeight="1">
      <c r="A15" s="120">
        <v>5</v>
      </c>
      <c r="B15" s="120"/>
      <c r="C15" s="151" t="s">
        <v>18</v>
      </c>
    </row>
    <row r="16" spans="1:3" s="90" customFormat="1" ht="16.899999999999999" customHeight="1">
      <c r="A16" s="120">
        <v>6</v>
      </c>
      <c r="B16" s="120"/>
      <c r="C16" s="151" t="s">
        <v>19</v>
      </c>
    </row>
    <row r="17" spans="1:3" s="90" customFormat="1" ht="16.899999999999999" customHeight="1">
      <c r="A17" s="120">
        <v>7</v>
      </c>
      <c r="B17" s="120"/>
      <c r="C17" s="151" t="s">
        <v>20</v>
      </c>
    </row>
    <row r="18" spans="1:3" s="90" customFormat="1" ht="16.899999999999999" customHeight="1">
      <c r="A18" s="120">
        <v>8</v>
      </c>
      <c r="B18" s="120"/>
      <c r="C18" s="151" t="s">
        <v>21</v>
      </c>
    </row>
    <row r="19" spans="1:3">
      <c r="A19" s="1"/>
      <c r="B19" s="1"/>
    </row>
    <row r="20" spans="1:3">
      <c r="A20" s="1"/>
      <c r="B20" s="1"/>
    </row>
    <row r="21" spans="1:3">
      <c r="A21" s="1"/>
      <c r="B21" s="1"/>
    </row>
    <row r="22" spans="1:3">
      <c r="A22" s="1"/>
      <c r="B22" s="1"/>
    </row>
    <row r="23" spans="1:3">
      <c r="A23" s="1"/>
      <c r="B23" s="1"/>
    </row>
    <row r="24" spans="1:3">
      <c r="A24" s="1"/>
      <c r="B24" s="1"/>
    </row>
    <row r="25" spans="1:3">
      <c r="A25" s="1"/>
      <c r="B25" s="1"/>
    </row>
    <row r="26" spans="1:3">
      <c r="A26" s="1"/>
      <c r="B26" s="1"/>
    </row>
    <row r="27" spans="1:3">
      <c r="A27" s="1"/>
      <c r="B27" s="1"/>
    </row>
    <row r="28" spans="1:3">
      <c r="A28" s="1"/>
      <c r="B28" s="1"/>
    </row>
  </sheetData>
  <mergeCells count="1">
    <mergeCell ref="A1:C1"/>
  </mergeCells>
  <phoneticPr fontId="2" type="noConversion"/>
  <printOptions horizontalCentered="1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38"/>
  <sheetViews>
    <sheetView workbookViewId="0">
      <selection activeCell="G5" sqref="G5:N27"/>
    </sheetView>
  </sheetViews>
  <sheetFormatPr defaultRowHeight="12.75"/>
  <cols>
    <col min="1" max="1" width="9.42578125" style="433" customWidth="1"/>
    <col min="2" max="2" width="38.28515625" style="433" customWidth="1"/>
    <col min="3" max="3" width="13.7109375" style="433" customWidth="1"/>
    <col min="4" max="4" width="12.28515625" style="433" customWidth="1"/>
    <col min="5" max="5" width="16.5703125" style="433" customWidth="1"/>
    <col min="6" max="16384" width="9.140625" style="433"/>
  </cols>
  <sheetData>
    <row r="1" spans="1:13" s="274" customFormat="1">
      <c r="A1" s="396"/>
      <c r="B1" s="636" t="s">
        <v>420</v>
      </c>
      <c r="C1" s="636"/>
      <c r="D1" s="636"/>
      <c r="E1" s="636"/>
    </row>
    <row r="2" spans="1:13" s="274" customFormat="1">
      <c r="B2" s="636" t="s">
        <v>470</v>
      </c>
      <c r="C2" s="636"/>
      <c r="D2" s="636"/>
      <c r="E2" s="636"/>
    </row>
    <row r="3" spans="1:13" s="274" customFormat="1">
      <c r="A3" s="636" t="s">
        <v>405</v>
      </c>
      <c r="B3" s="655"/>
      <c r="C3" s="655"/>
      <c r="D3" s="655"/>
      <c r="E3" s="655"/>
    </row>
    <row r="4" spans="1:13" s="274" customFormat="1">
      <c r="A4" s="636" t="s">
        <v>311</v>
      </c>
      <c r="B4" s="655"/>
      <c r="C4" s="655"/>
      <c r="D4" s="655"/>
      <c r="E4" s="655"/>
    </row>
    <row r="5" spans="1:13" s="274" customFormat="1"/>
    <row r="6" spans="1:13" s="400" customFormat="1" ht="13.5" thickBot="1">
      <c r="A6" s="274"/>
      <c r="B6" s="141"/>
      <c r="C6" s="397"/>
      <c r="D6" s="398"/>
      <c r="E6" s="399" t="s">
        <v>277</v>
      </c>
    </row>
    <row r="7" spans="1:13" s="274" customFormat="1" ht="13.5" thickTop="1">
      <c r="A7" s="401" t="s">
        <v>25</v>
      </c>
      <c r="B7" s="402" t="s">
        <v>38</v>
      </c>
      <c r="C7" s="403" t="s">
        <v>39</v>
      </c>
      <c r="D7" s="404" t="s">
        <v>40</v>
      </c>
      <c r="E7" s="405" t="s">
        <v>41</v>
      </c>
    </row>
    <row r="8" spans="1:13" s="274" customFormat="1" ht="13.5" thickBot="1">
      <c r="A8" s="406" t="s">
        <v>28</v>
      </c>
      <c r="B8" s="407"/>
      <c r="C8" s="403" t="s">
        <v>42</v>
      </c>
      <c r="D8" s="404" t="s">
        <v>43</v>
      </c>
      <c r="E8" s="405" t="s">
        <v>42</v>
      </c>
    </row>
    <row r="9" spans="1:13" s="274" customFormat="1" ht="13.5" thickTop="1">
      <c r="A9" s="408"/>
      <c r="B9" s="409" t="s">
        <v>44</v>
      </c>
      <c r="C9" s="410"/>
      <c r="D9" s="411"/>
      <c r="E9" s="412"/>
    </row>
    <row r="10" spans="1:13" s="274" customFormat="1">
      <c r="A10" s="413">
        <v>201</v>
      </c>
      <c r="B10" s="414" t="s">
        <v>312</v>
      </c>
      <c r="C10" s="415"/>
      <c r="D10" s="416"/>
      <c r="E10" s="417"/>
      <c r="G10" s="396"/>
      <c r="K10" s="396"/>
    </row>
    <row r="11" spans="1:13" s="274" customFormat="1">
      <c r="A11" s="413">
        <v>202</v>
      </c>
      <c r="B11" s="414" t="s">
        <v>45</v>
      </c>
      <c r="C11" s="586">
        <f>23+103</f>
        <v>126</v>
      </c>
      <c r="D11" s="583">
        <f>3+72</f>
        <v>75</v>
      </c>
      <c r="E11" s="517">
        <f>C11-D11</f>
        <v>51</v>
      </c>
      <c r="H11" s="556"/>
      <c r="K11" s="556"/>
      <c r="L11" s="556"/>
      <c r="M11" s="556"/>
    </row>
    <row r="12" spans="1:13" s="274" customFormat="1">
      <c r="A12" s="413">
        <v>203</v>
      </c>
      <c r="B12" s="414" t="s">
        <v>313</v>
      </c>
      <c r="C12" s="586">
        <f>23+2</f>
        <v>25</v>
      </c>
      <c r="D12" s="583">
        <f>22+2</f>
        <v>24</v>
      </c>
      <c r="E12" s="517">
        <f t="shared" ref="E12:E15" si="0">C12-D12</f>
        <v>1</v>
      </c>
      <c r="K12" s="556"/>
      <c r="L12" s="556"/>
      <c r="M12" s="556"/>
    </row>
    <row r="13" spans="1:13" s="274" customFormat="1">
      <c r="A13" s="413">
        <v>204</v>
      </c>
      <c r="B13" s="414" t="s">
        <v>263</v>
      </c>
      <c r="C13" s="586">
        <v>364</v>
      </c>
      <c r="D13" s="583">
        <v>46</v>
      </c>
      <c r="E13" s="517">
        <f t="shared" si="0"/>
        <v>318</v>
      </c>
      <c r="K13" s="556"/>
      <c r="L13" s="556"/>
      <c r="M13" s="556"/>
    </row>
    <row r="14" spans="1:13" s="274" customFormat="1">
      <c r="A14" s="413">
        <v>205</v>
      </c>
      <c r="B14" s="414" t="s">
        <v>58</v>
      </c>
      <c r="C14" s="586">
        <v>16</v>
      </c>
      <c r="D14" s="583">
        <v>11</v>
      </c>
      <c r="E14" s="517">
        <f t="shared" si="0"/>
        <v>5</v>
      </c>
      <c r="K14" s="556"/>
      <c r="L14" s="556"/>
      <c r="M14" s="556"/>
    </row>
    <row r="15" spans="1:13" s="274" customFormat="1">
      <c r="A15" s="413">
        <v>206</v>
      </c>
      <c r="B15" s="414" t="s">
        <v>393</v>
      </c>
      <c r="C15" s="586">
        <v>9</v>
      </c>
      <c r="D15" s="583">
        <v>7</v>
      </c>
      <c r="E15" s="517">
        <f t="shared" si="0"/>
        <v>2</v>
      </c>
      <c r="K15" s="556"/>
      <c r="L15" s="556"/>
      <c r="M15" s="556"/>
    </row>
    <row r="16" spans="1:13" s="274" customFormat="1">
      <c r="A16" s="413">
        <v>207</v>
      </c>
      <c r="B16" s="414" t="s">
        <v>388</v>
      </c>
      <c r="C16" s="586">
        <f>3+1</f>
        <v>4</v>
      </c>
      <c r="D16" s="583">
        <f>3+1</f>
        <v>4</v>
      </c>
      <c r="E16" s="517">
        <f t="shared" ref="E16:E18" si="1">C16-D16</f>
        <v>0</v>
      </c>
      <c r="K16" s="556"/>
      <c r="L16" s="556"/>
      <c r="M16" s="556"/>
    </row>
    <row r="17" spans="1:15" s="274" customFormat="1">
      <c r="A17" s="413">
        <v>212</v>
      </c>
      <c r="B17" s="414" t="s">
        <v>462</v>
      </c>
      <c r="C17" s="586">
        <f>37+27-41</f>
        <v>23</v>
      </c>
      <c r="D17" s="583">
        <f>37+23-37</f>
        <v>23</v>
      </c>
      <c r="E17" s="517">
        <f t="shared" si="1"/>
        <v>0</v>
      </c>
      <c r="K17" s="556"/>
      <c r="L17" s="556"/>
      <c r="M17" s="556"/>
    </row>
    <row r="18" spans="1:15" s="274" customFormat="1">
      <c r="A18" s="418"/>
      <c r="B18" s="419" t="s">
        <v>316</v>
      </c>
      <c r="C18" s="420">
        <f>SUM(C10:C17)</f>
        <v>567</v>
      </c>
      <c r="D18" s="416">
        <f>SUM(D10:D17)</f>
        <v>190</v>
      </c>
      <c r="E18" s="517">
        <f t="shared" si="1"/>
        <v>377</v>
      </c>
      <c r="K18" s="556"/>
      <c r="L18" s="556"/>
      <c r="M18" s="556"/>
    </row>
    <row r="19" spans="1:15" s="274" customFormat="1">
      <c r="A19" s="418"/>
      <c r="B19" s="419" t="s">
        <v>315</v>
      </c>
      <c r="C19" s="421"/>
      <c r="D19" s="416"/>
      <c r="E19" s="417"/>
      <c r="K19" s="556"/>
      <c r="L19" s="556"/>
      <c r="M19" s="556"/>
    </row>
    <row r="20" spans="1:15" s="274" customFormat="1">
      <c r="A20" s="413">
        <v>201</v>
      </c>
      <c r="B20" s="414" t="s">
        <v>312</v>
      </c>
      <c r="C20" s="415"/>
      <c r="D20" s="416"/>
      <c r="E20" s="417"/>
    </row>
    <row r="21" spans="1:15" s="274" customFormat="1">
      <c r="A21" s="413">
        <v>202</v>
      </c>
      <c r="B21" s="414" t="s">
        <v>45</v>
      </c>
      <c r="C21" s="415"/>
      <c r="D21" s="416"/>
      <c r="E21" s="417"/>
    </row>
    <row r="22" spans="1:15" s="274" customFormat="1">
      <c r="A22" s="413">
        <v>205</v>
      </c>
      <c r="B22" s="414" t="s">
        <v>58</v>
      </c>
      <c r="C22" s="415"/>
      <c r="D22" s="416"/>
      <c r="E22" s="417"/>
    </row>
    <row r="23" spans="1:15" s="274" customFormat="1">
      <c r="A23" s="413">
        <v>206</v>
      </c>
      <c r="B23" s="414" t="s">
        <v>393</v>
      </c>
      <c r="C23" s="415"/>
      <c r="D23" s="416"/>
      <c r="E23" s="417"/>
    </row>
    <row r="24" spans="1:15" s="274" customFormat="1">
      <c r="A24" s="413">
        <v>207</v>
      </c>
      <c r="B24" s="414" t="s">
        <v>388</v>
      </c>
      <c r="C24" s="415"/>
      <c r="D24" s="416"/>
      <c r="E24" s="417"/>
    </row>
    <row r="25" spans="1:15" s="274" customFormat="1">
      <c r="A25" s="413">
        <v>212</v>
      </c>
      <c r="B25" s="414" t="s">
        <v>462</v>
      </c>
      <c r="C25" s="415">
        <f>14+21+6</f>
        <v>41</v>
      </c>
      <c r="D25" s="416">
        <f>10+6+21</f>
        <v>37</v>
      </c>
      <c r="E25" s="517">
        <f t="shared" ref="E25" si="2">C25-D25</f>
        <v>4</v>
      </c>
      <c r="K25" s="556"/>
      <c r="L25" s="556"/>
      <c r="M25" s="556"/>
    </row>
    <row r="26" spans="1:15" s="274" customFormat="1" ht="13.5" thickBot="1">
      <c r="A26" s="422"/>
      <c r="B26" s="423" t="s">
        <v>317</v>
      </c>
      <c r="C26" s="424">
        <f>SUM(C20:C25)</f>
        <v>41</v>
      </c>
      <c r="D26" s="424">
        <f t="shared" ref="D26:E26" si="3">SUM(D20:D25)</f>
        <v>37</v>
      </c>
      <c r="E26" s="424">
        <f t="shared" si="3"/>
        <v>4</v>
      </c>
      <c r="K26" s="556"/>
      <c r="L26" s="556"/>
      <c r="M26" s="556"/>
    </row>
    <row r="27" spans="1:15" s="274" customFormat="1" ht="15.75" thickTop="1" thickBot="1">
      <c r="A27" s="653" t="s">
        <v>318</v>
      </c>
      <c r="B27" s="654"/>
      <c r="C27" s="426">
        <f>SUM(C18,C26)</f>
        <v>608</v>
      </c>
      <c r="D27" s="426">
        <f>SUM(D18,D26)</f>
        <v>227</v>
      </c>
      <c r="E27" s="426">
        <f>SUM(E18,E26)</f>
        <v>381</v>
      </c>
      <c r="G27" s="591"/>
      <c r="H27" s="591"/>
      <c r="I27" s="591"/>
      <c r="J27" s="591"/>
      <c r="K27" s="599"/>
      <c r="L27" s="599"/>
      <c r="M27" s="599"/>
      <c r="N27" s="591"/>
      <c r="O27" s="591"/>
    </row>
    <row r="28" spans="1:15" s="274" customFormat="1" ht="13.5" thickTop="1">
      <c r="A28" s="428"/>
      <c r="B28" s="428"/>
      <c r="C28" s="428"/>
      <c r="D28" s="428"/>
      <c r="E28" s="428"/>
    </row>
    <row r="29" spans="1:15" s="274" customFormat="1"/>
    <row r="30" spans="1:15" s="274" customFormat="1">
      <c r="A30" s="429" t="s">
        <v>34</v>
      </c>
      <c r="B30" s="47"/>
      <c r="C30" s="2"/>
      <c r="D30" s="2"/>
    </row>
    <row r="31" spans="1:15" s="274" customFormat="1">
      <c r="A31" s="430"/>
      <c r="B31" s="47"/>
      <c r="C31" s="2"/>
      <c r="D31" s="2"/>
    </row>
    <row r="32" spans="1:15" s="274" customFormat="1">
      <c r="A32" s="47"/>
      <c r="B32" s="48"/>
      <c r="C32" s="431" t="s">
        <v>46</v>
      </c>
      <c r="D32" s="48"/>
    </row>
    <row r="33" spans="1:4">
      <c r="A33" s="332"/>
      <c r="B33" s="432" t="s">
        <v>36</v>
      </c>
    </row>
    <row r="34" spans="1:4">
      <c r="A34" s="434"/>
      <c r="B34" s="435"/>
    </row>
    <row r="35" spans="1:4" s="274" customFormat="1">
      <c r="A35" s="436" t="s">
        <v>47</v>
      </c>
      <c r="B35" s="2"/>
      <c r="C35" s="2"/>
      <c r="D35" s="2"/>
    </row>
    <row r="36" spans="1:4" s="274" customFormat="1">
      <c r="A36" s="2"/>
      <c r="B36" s="2"/>
      <c r="C36" s="2"/>
      <c r="D36" s="2"/>
    </row>
    <row r="37" spans="1:4" s="274" customFormat="1">
      <c r="A37" s="47"/>
      <c r="B37" s="48"/>
      <c r="C37" s="431" t="s">
        <v>35</v>
      </c>
      <c r="D37" s="48"/>
    </row>
    <row r="38" spans="1:4">
      <c r="A38" s="88"/>
      <c r="B38" s="432" t="s">
        <v>36</v>
      </c>
    </row>
  </sheetData>
  <mergeCells count="5">
    <mergeCell ref="A27:B27"/>
    <mergeCell ref="B1:E1"/>
    <mergeCell ref="B2:E2"/>
    <mergeCell ref="A3:E3"/>
    <mergeCell ref="A4:E4"/>
  </mergeCells>
  <phoneticPr fontId="2" type="noConversion"/>
  <printOptions horizontalCentered="1"/>
  <pageMargins left="0.75" right="0.75" top="0.55000000000000004" bottom="0.4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5"/>
  <sheetViews>
    <sheetView workbookViewId="0">
      <selection activeCell="E30" sqref="E30"/>
    </sheetView>
  </sheetViews>
  <sheetFormatPr defaultRowHeight="12.75"/>
  <cols>
    <col min="1" max="1" width="9.140625" style="433"/>
    <col min="2" max="2" width="39.140625" style="433" customWidth="1"/>
    <col min="3" max="3" width="14.85546875" style="433" customWidth="1"/>
    <col min="4" max="4" width="11.85546875" style="433" customWidth="1"/>
    <col min="5" max="5" width="11.85546875" style="433" bestFit="1" customWidth="1"/>
    <col min="6" max="16384" width="9.140625" style="433"/>
  </cols>
  <sheetData>
    <row r="1" spans="1:14" s="274" customFormat="1">
      <c r="A1" s="396"/>
      <c r="B1" s="636" t="s">
        <v>420</v>
      </c>
      <c r="C1" s="636"/>
      <c r="D1" s="636"/>
      <c r="E1" s="636"/>
    </row>
    <row r="2" spans="1:14" s="274" customFormat="1">
      <c r="B2" s="636" t="s">
        <v>470</v>
      </c>
      <c r="C2" s="636"/>
      <c r="D2" s="636"/>
      <c r="E2" s="636"/>
    </row>
    <row r="3" spans="1:14" s="274" customFormat="1">
      <c r="A3" s="636" t="s">
        <v>406</v>
      </c>
      <c r="B3" s="655"/>
      <c r="C3" s="655"/>
      <c r="D3" s="655"/>
      <c r="E3" s="655"/>
    </row>
    <row r="4" spans="1:14" s="274" customFormat="1">
      <c r="A4" s="636" t="s">
        <v>389</v>
      </c>
      <c r="B4" s="655"/>
      <c r="C4" s="655"/>
      <c r="D4" s="655"/>
      <c r="E4" s="655"/>
    </row>
    <row r="5" spans="1:14" s="274" customFormat="1"/>
    <row r="6" spans="1:14" s="274" customFormat="1" ht="13.5" thickBot="1">
      <c r="B6" s="141"/>
      <c r="C6" s="656" t="s">
        <v>277</v>
      </c>
      <c r="D6" s="657"/>
      <c r="E6" s="657"/>
    </row>
    <row r="7" spans="1:14" s="274" customFormat="1" ht="13.5" thickTop="1">
      <c r="A7" s="401" t="s">
        <v>25</v>
      </c>
      <c r="B7" s="402" t="s">
        <v>38</v>
      </c>
      <c r="C7" s="403" t="s">
        <v>39</v>
      </c>
      <c r="D7" s="404" t="s">
        <v>40</v>
      </c>
      <c r="E7" s="405" t="s">
        <v>41</v>
      </c>
    </row>
    <row r="8" spans="1:14" s="274" customFormat="1">
      <c r="A8" s="406" t="s">
        <v>28</v>
      </c>
      <c r="B8" s="407"/>
      <c r="C8" s="403" t="s">
        <v>42</v>
      </c>
      <c r="D8" s="404" t="s">
        <v>43</v>
      </c>
      <c r="E8" s="405" t="s">
        <v>42</v>
      </c>
    </row>
    <row r="9" spans="1:14" s="274" customFormat="1">
      <c r="A9" s="413"/>
      <c r="B9" s="419" t="s">
        <v>390</v>
      </c>
      <c r="C9" s="465"/>
      <c r="D9" s="416"/>
      <c r="E9" s="417"/>
    </row>
    <row r="10" spans="1:14" s="274" customFormat="1">
      <c r="A10" s="413">
        <v>201</v>
      </c>
      <c r="B10" s="414" t="s">
        <v>312</v>
      </c>
      <c r="C10" s="465"/>
      <c r="D10" s="416"/>
      <c r="E10" s="417"/>
      <c r="G10" s="396"/>
      <c r="K10" s="396"/>
    </row>
    <row r="11" spans="1:14" s="274" customFormat="1">
      <c r="A11" s="413">
        <v>202</v>
      </c>
      <c r="B11" s="414" t="s">
        <v>45</v>
      </c>
      <c r="C11" s="582">
        <v>124</v>
      </c>
      <c r="D11" s="583">
        <v>74</v>
      </c>
      <c r="E11" s="417">
        <f>C11-D11</f>
        <v>50</v>
      </c>
      <c r="K11" s="556"/>
      <c r="L11" s="556"/>
      <c r="M11" s="556"/>
    </row>
    <row r="12" spans="1:14" s="274" customFormat="1">
      <c r="A12" s="413">
        <v>203</v>
      </c>
      <c r="B12" s="414" t="s">
        <v>313</v>
      </c>
      <c r="C12" s="582">
        <v>355</v>
      </c>
      <c r="D12" s="583">
        <v>323</v>
      </c>
      <c r="E12" s="417">
        <f t="shared" ref="E12:E26" si="0">C12-D12</f>
        <v>32</v>
      </c>
      <c r="K12" s="556"/>
      <c r="L12" s="556"/>
      <c r="M12" s="556"/>
    </row>
    <row r="13" spans="1:14" s="274" customFormat="1">
      <c r="A13" s="413">
        <v>204</v>
      </c>
      <c r="B13" s="414" t="s">
        <v>263</v>
      </c>
      <c r="C13" s="582">
        <f>5234-457</f>
        <v>4777</v>
      </c>
      <c r="D13" s="583">
        <f>3362-203</f>
        <v>3159</v>
      </c>
      <c r="E13" s="417">
        <f>C13-D13</f>
        <v>1618</v>
      </c>
      <c r="K13" s="556"/>
      <c r="L13" s="556"/>
      <c r="M13" s="556"/>
      <c r="N13" s="396"/>
    </row>
    <row r="14" spans="1:14" s="274" customFormat="1">
      <c r="A14" s="413">
        <v>205</v>
      </c>
      <c r="B14" s="414" t="s">
        <v>58</v>
      </c>
      <c r="C14" s="582"/>
      <c r="D14" s="583"/>
      <c r="E14" s="417"/>
      <c r="K14" s="556"/>
      <c r="L14" s="556"/>
      <c r="M14" s="556"/>
    </row>
    <row r="15" spans="1:14" s="274" customFormat="1">
      <c r="A15" s="413">
        <v>206</v>
      </c>
      <c r="B15" s="414" t="s">
        <v>393</v>
      </c>
      <c r="C15" s="582">
        <v>1</v>
      </c>
      <c r="D15" s="583">
        <v>1</v>
      </c>
      <c r="E15" s="417">
        <f t="shared" si="0"/>
        <v>0</v>
      </c>
      <c r="K15" s="556"/>
      <c r="L15" s="556"/>
      <c r="M15" s="556"/>
    </row>
    <row r="16" spans="1:14" s="274" customFormat="1">
      <c r="A16" s="413">
        <v>207</v>
      </c>
      <c r="B16" s="414" t="s">
        <v>388</v>
      </c>
      <c r="C16" s="582">
        <v>3</v>
      </c>
      <c r="D16" s="583">
        <v>3</v>
      </c>
      <c r="E16" s="417">
        <f t="shared" si="0"/>
        <v>0</v>
      </c>
      <c r="K16" s="556"/>
      <c r="L16" s="556"/>
      <c r="M16" s="556"/>
    </row>
    <row r="17" spans="1:14" s="274" customFormat="1">
      <c r="A17" s="413">
        <v>209</v>
      </c>
      <c r="B17" s="414" t="s">
        <v>60</v>
      </c>
      <c r="C17" s="582"/>
      <c r="D17" s="583"/>
      <c r="E17" s="417">
        <f>C17-D17</f>
        <v>0</v>
      </c>
      <c r="K17" s="556"/>
      <c r="L17" s="556"/>
      <c r="M17" s="556"/>
    </row>
    <row r="18" spans="1:14" s="274" customFormat="1">
      <c r="A18" s="658" t="s">
        <v>391</v>
      </c>
      <c r="B18" s="659"/>
      <c r="C18" s="465">
        <f>SUM(C10:C17)</f>
        <v>5260</v>
      </c>
      <c r="D18" s="465">
        <f>SUM(D10:D17)</f>
        <v>3560</v>
      </c>
      <c r="E18" s="417">
        <f>C18-D18</f>
        <v>1700</v>
      </c>
      <c r="K18" s="556"/>
      <c r="L18" s="556"/>
      <c r="M18" s="556"/>
    </row>
    <row r="19" spans="1:14" s="274" customFormat="1">
      <c r="A19" s="418"/>
      <c r="B19" s="419" t="s">
        <v>315</v>
      </c>
      <c r="C19" s="465"/>
      <c r="D19" s="416"/>
      <c r="E19" s="417"/>
    </row>
    <row r="20" spans="1:14" s="274" customFormat="1">
      <c r="A20" s="413">
        <v>201</v>
      </c>
      <c r="B20" s="414" t="s">
        <v>312</v>
      </c>
      <c r="C20" s="465"/>
      <c r="D20" s="416"/>
      <c r="E20" s="417"/>
    </row>
    <row r="21" spans="1:14" s="274" customFormat="1">
      <c r="A21" s="413">
        <v>202</v>
      </c>
      <c r="B21" s="414" t="s">
        <v>45</v>
      </c>
      <c r="C21" s="582">
        <v>46</v>
      </c>
      <c r="D21" s="583">
        <v>27</v>
      </c>
      <c r="E21" s="417">
        <f t="shared" si="0"/>
        <v>19</v>
      </c>
      <c r="K21" s="556"/>
      <c r="L21" s="556"/>
      <c r="M21" s="556"/>
    </row>
    <row r="22" spans="1:14" s="274" customFormat="1">
      <c r="A22" s="413">
        <v>205</v>
      </c>
      <c r="B22" s="414" t="s">
        <v>58</v>
      </c>
      <c r="C22" s="582">
        <v>3</v>
      </c>
      <c r="D22" s="583">
        <v>3</v>
      </c>
      <c r="E22" s="417">
        <f t="shared" si="0"/>
        <v>0</v>
      </c>
      <c r="K22" s="556"/>
      <c r="L22" s="556"/>
      <c r="M22" s="556"/>
    </row>
    <row r="23" spans="1:14" s="274" customFormat="1">
      <c r="A23" s="413">
        <v>206</v>
      </c>
      <c r="B23" s="414" t="s">
        <v>393</v>
      </c>
      <c r="C23" s="582">
        <v>3</v>
      </c>
      <c r="D23" s="583">
        <v>3</v>
      </c>
      <c r="E23" s="417">
        <f t="shared" si="0"/>
        <v>0</v>
      </c>
      <c r="K23" s="556"/>
      <c r="L23" s="556"/>
      <c r="M23" s="556"/>
    </row>
    <row r="24" spans="1:14" s="274" customFormat="1">
      <c r="A24" s="413">
        <v>207</v>
      </c>
      <c r="B24" s="414" t="s">
        <v>388</v>
      </c>
      <c r="C24" s="582">
        <v>11</v>
      </c>
      <c r="D24" s="583">
        <v>10</v>
      </c>
      <c r="E24" s="417">
        <f t="shared" si="0"/>
        <v>1</v>
      </c>
      <c r="K24" s="556"/>
      <c r="L24" s="556"/>
      <c r="M24" s="556"/>
    </row>
    <row r="25" spans="1:14" s="274" customFormat="1">
      <c r="A25" s="413">
        <v>209</v>
      </c>
      <c r="B25" s="414" t="s">
        <v>60</v>
      </c>
      <c r="C25" s="465"/>
      <c r="D25" s="416"/>
      <c r="E25" s="417">
        <f t="shared" si="0"/>
        <v>0</v>
      </c>
      <c r="K25" s="556"/>
      <c r="L25" s="556"/>
      <c r="M25" s="556"/>
    </row>
    <row r="26" spans="1:14" s="274" customFormat="1" ht="13.5" thickBot="1">
      <c r="A26" s="422"/>
      <c r="B26" s="423" t="s">
        <v>317</v>
      </c>
      <c r="C26" s="425">
        <f>SUM(C20:C25)</f>
        <v>63</v>
      </c>
      <c r="D26" s="467">
        <f>SUM(D20:D25)</f>
        <v>43</v>
      </c>
      <c r="E26" s="417">
        <f t="shared" si="0"/>
        <v>20</v>
      </c>
      <c r="K26" s="556"/>
      <c r="L26" s="556"/>
      <c r="M26" s="556"/>
    </row>
    <row r="27" spans="1:14" s="274" customFormat="1" ht="15.75" thickTop="1" thickBot="1">
      <c r="A27" s="653" t="s">
        <v>318</v>
      </c>
      <c r="B27" s="654"/>
      <c r="C27" s="466">
        <f>C18+C26</f>
        <v>5323</v>
      </c>
      <c r="D27" s="427">
        <f>D18+D26</f>
        <v>3603</v>
      </c>
      <c r="E27" s="468">
        <f>E18+E26</f>
        <v>1720</v>
      </c>
      <c r="G27" s="591"/>
      <c r="H27" s="591"/>
      <c r="I27" s="591"/>
      <c r="J27" s="591"/>
      <c r="K27" s="599"/>
      <c r="L27" s="599"/>
      <c r="M27" s="599"/>
      <c r="N27" s="591"/>
    </row>
    <row r="28" spans="1:14" s="274" customFormat="1" ht="13.5" thickTop="1">
      <c r="A28" s="428"/>
      <c r="B28" s="428"/>
      <c r="C28" s="428"/>
      <c r="D28" s="428"/>
      <c r="E28" s="428"/>
    </row>
    <row r="29" spans="1:14" s="274" customFormat="1"/>
    <row r="30" spans="1:14" s="274" customFormat="1">
      <c r="A30" s="429" t="s">
        <v>34</v>
      </c>
      <c r="B30" s="47"/>
      <c r="C30" s="2"/>
      <c r="D30" s="2"/>
    </row>
    <row r="31" spans="1:14" s="274" customFormat="1">
      <c r="A31" s="430"/>
      <c r="B31" s="47"/>
      <c r="C31" s="2"/>
      <c r="D31" s="2"/>
    </row>
    <row r="32" spans="1:14" s="274" customFormat="1">
      <c r="A32" s="47"/>
      <c r="B32" s="48"/>
      <c r="C32" s="431" t="s">
        <v>46</v>
      </c>
      <c r="D32" s="48"/>
    </row>
    <row r="33" spans="1:4">
      <c r="A33" s="332"/>
      <c r="B33" s="432" t="s">
        <v>36</v>
      </c>
    </row>
    <row r="34" spans="1:4" s="274" customFormat="1">
      <c r="A34" s="47"/>
      <c r="B34" s="48"/>
      <c r="C34" s="431" t="s">
        <v>46</v>
      </c>
      <c r="D34" s="48"/>
    </row>
    <row r="35" spans="1:4">
      <c r="A35" s="88"/>
      <c r="B35" s="432" t="s">
        <v>36</v>
      </c>
    </row>
  </sheetData>
  <mergeCells count="7">
    <mergeCell ref="B1:E1"/>
    <mergeCell ref="B2:E2"/>
    <mergeCell ref="A27:B27"/>
    <mergeCell ref="A3:E3"/>
    <mergeCell ref="A4:E4"/>
    <mergeCell ref="C6:E6"/>
    <mergeCell ref="A18:B18"/>
  </mergeCells>
  <phoneticPr fontId="2" type="noConversion"/>
  <printOptions horizontalCentered="1"/>
  <pageMargins left="0.75" right="0.75" top="0.49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8"/>
  <sheetViews>
    <sheetView workbookViewId="0">
      <pane xSplit="3" topLeftCell="D1" activePane="topRight" state="frozen"/>
      <selection pane="topRight" activeCell="E4" sqref="E4:M17"/>
    </sheetView>
  </sheetViews>
  <sheetFormatPr defaultRowHeight="12.75"/>
  <cols>
    <col min="2" max="2" width="41.140625" customWidth="1"/>
    <col min="3" max="3" width="21.5703125" customWidth="1"/>
  </cols>
  <sheetData>
    <row r="1" spans="1:11" s="274" customFormat="1">
      <c r="A1" s="636" t="s">
        <v>420</v>
      </c>
      <c r="B1" s="636"/>
      <c r="C1" s="636"/>
      <c r="D1" s="469"/>
      <c r="E1" s="469"/>
    </row>
    <row r="2" spans="1:11" s="274" customFormat="1">
      <c r="A2" s="636" t="s">
        <v>470</v>
      </c>
      <c r="B2" s="636"/>
      <c r="C2" s="636"/>
      <c r="D2" s="469"/>
      <c r="E2" s="469"/>
    </row>
    <row r="3" spans="1:11">
      <c r="A3" s="636" t="s">
        <v>412</v>
      </c>
      <c r="B3" s="655"/>
      <c r="C3" s="655"/>
    </row>
    <row r="4" spans="1:11" ht="33" customHeight="1">
      <c r="A4" s="660" t="s">
        <v>411</v>
      </c>
      <c r="B4" s="661"/>
      <c r="C4" s="661"/>
    </row>
    <row r="5" spans="1:11">
      <c r="A5" s="274"/>
      <c r="B5" s="274"/>
      <c r="C5" s="274"/>
    </row>
    <row r="6" spans="1:11" ht="13.5" thickBot="1">
      <c r="A6" s="274"/>
      <c r="B6" s="141"/>
      <c r="C6" s="399" t="s">
        <v>277</v>
      </c>
    </row>
    <row r="7" spans="1:11" ht="13.5" thickTop="1">
      <c r="A7" s="401" t="s">
        <v>25</v>
      </c>
      <c r="B7" s="402" t="s">
        <v>38</v>
      </c>
      <c r="C7" s="403" t="s">
        <v>39</v>
      </c>
      <c r="E7" s="591"/>
    </row>
    <row r="8" spans="1:11" ht="13.5" thickBot="1">
      <c r="A8" s="406" t="s">
        <v>28</v>
      </c>
      <c r="B8" s="407"/>
      <c r="C8" s="403" t="s">
        <v>42</v>
      </c>
    </row>
    <row r="9" spans="1:11" ht="13.5" thickTop="1">
      <c r="A9" s="408"/>
      <c r="B9" s="409" t="s">
        <v>44</v>
      </c>
      <c r="C9" s="410"/>
    </row>
    <row r="10" spans="1:11">
      <c r="A10" s="413"/>
      <c r="B10" s="414" t="s">
        <v>312</v>
      </c>
      <c r="C10" s="416"/>
    </row>
    <row r="11" spans="1:11">
      <c r="A11" s="413"/>
      <c r="B11" s="414" t="s">
        <v>45</v>
      </c>
      <c r="C11" s="416">
        <v>1240</v>
      </c>
    </row>
    <row r="12" spans="1:11">
      <c r="A12" s="413"/>
      <c r="B12" s="414" t="s">
        <v>313</v>
      </c>
      <c r="C12" s="416">
        <f>469+207</f>
        <v>676</v>
      </c>
    </row>
    <row r="13" spans="1:11">
      <c r="A13" s="413"/>
      <c r="B13" s="414" t="s">
        <v>263</v>
      </c>
      <c r="C13" s="588">
        <f>4564.84046+431</f>
        <v>4995.8404600000003</v>
      </c>
      <c r="K13" s="555"/>
    </row>
    <row r="14" spans="1:11">
      <c r="A14" s="413"/>
      <c r="B14" s="414" t="s">
        <v>58</v>
      </c>
      <c r="C14" s="416"/>
    </row>
    <row r="15" spans="1:11">
      <c r="A15" s="413"/>
      <c r="B15" s="414" t="s">
        <v>393</v>
      </c>
      <c r="C15" s="416"/>
    </row>
    <row r="16" spans="1:11">
      <c r="A16" s="413"/>
      <c r="B16" s="414" t="s">
        <v>388</v>
      </c>
      <c r="C16" s="416"/>
    </row>
    <row r="17" spans="1:9">
      <c r="A17" s="413"/>
      <c r="B17" s="414" t="s">
        <v>60</v>
      </c>
      <c r="C17" s="416"/>
    </row>
    <row r="18" spans="1:9">
      <c r="A18" s="418"/>
      <c r="B18" s="419" t="s">
        <v>316</v>
      </c>
      <c r="C18" s="589">
        <f>SUM(C10:C17)</f>
        <v>6911.8404600000003</v>
      </c>
    </row>
    <row r="19" spans="1:9">
      <c r="A19" s="418"/>
      <c r="B19" s="419" t="s">
        <v>315</v>
      </c>
      <c r="C19" s="465"/>
    </row>
    <row r="20" spans="1:9">
      <c r="A20" s="413"/>
      <c r="B20" s="414" t="s">
        <v>312</v>
      </c>
      <c r="C20" s="465"/>
    </row>
    <row r="21" spans="1:9">
      <c r="A21" s="413"/>
      <c r="B21" s="414" t="s">
        <v>45</v>
      </c>
      <c r="C21" s="465"/>
    </row>
    <row r="22" spans="1:9">
      <c r="A22" s="413"/>
      <c r="B22" s="414" t="s">
        <v>58</v>
      </c>
      <c r="C22" s="465"/>
    </row>
    <row r="23" spans="1:9">
      <c r="A23" s="413"/>
      <c r="B23" s="414" t="s">
        <v>393</v>
      </c>
      <c r="C23" s="465"/>
    </row>
    <row r="24" spans="1:9">
      <c r="A24" s="413"/>
      <c r="B24" s="414" t="s">
        <v>388</v>
      </c>
      <c r="C24" s="465"/>
    </row>
    <row r="25" spans="1:9">
      <c r="A25" s="413"/>
      <c r="B25" s="414" t="s">
        <v>60</v>
      </c>
      <c r="C25" s="465"/>
    </row>
    <row r="26" spans="1:9" ht="13.5" thickBot="1">
      <c r="A26" s="422"/>
      <c r="B26" s="423" t="s">
        <v>317</v>
      </c>
      <c r="C26" s="425">
        <f>SUM(C20:C25)</f>
        <v>0</v>
      </c>
      <c r="E26" s="396"/>
      <c r="F26" s="396"/>
      <c r="G26" s="396"/>
    </row>
    <row r="27" spans="1:9" ht="15.75" thickTop="1" thickBot="1">
      <c r="A27" s="653" t="s">
        <v>314</v>
      </c>
      <c r="B27" s="654"/>
      <c r="C27" s="590">
        <f>C18</f>
        <v>6911.8404600000003</v>
      </c>
      <c r="H27" s="591"/>
      <c r="I27" s="591"/>
    </row>
    <row r="28" spans="1:9" ht="13.5" thickTop="1">
      <c r="A28" s="428"/>
      <c r="B28" s="428"/>
      <c r="C28" s="428"/>
    </row>
    <row r="29" spans="1:9">
      <c r="A29" s="274"/>
      <c r="B29" s="274"/>
      <c r="C29" s="274"/>
    </row>
    <row r="30" spans="1:9">
      <c r="A30" s="429" t="s">
        <v>34</v>
      </c>
      <c r="B30" s="47"/>
      <c r="C30" s="2"/>
    </row>
    <row r="31" spans="1:9">
      <c r="A31" s="430"/>
      <c r="B31" s="47"/>
      <c r="C31" s="2"/>
    </row>
    <row r="32" spans="1:9">
      <c r="A32" s="47"/>
      <c r="B32" s="48"/>
      <c r="C32" s="431" t="s">
        <v>46</v>
      </c>
    </row>
    <row r="33" spans="1:3">
      <c r="A33" s="332"/>
      <c r="B33" s="432" t="s">
        <v>36</v>
      </c>
      <c r="C33" s="433"/>
    </row>
    <row r="34" spans="1:3">
      <c r="A34" s="434"/>
      <c r="B34" s="435"/>
      <c r="C34" s="433"/>
    </row>
    <row r="35" spans="1:3">
      <c r="A35" s="436" t="s">
        <v>47</v>
      </c>
      <c r="B35" s="2"/>
      <c r="C35" s="2"/>
    </row>
    <row r="36" spans="1:3">
      <c r="A36" s="2"/>
      <c r="B36" s="2"/>
      <c r="C36" s="2"/>
    </row>
    <row r="37" spans="1:3">
      <c r="A37" s="47"/>
      <c r="B37" s="48"/>
      <c r="C37" s="431" t="s">
        <v>35</v>
      </c>
    </row>
    <row r="38" spans="1:3">
      <c r="A38" s="88"/>
      <c r="B38" s="432" t="s">
        <v>36</v>
      </c>
      <c r="C38" s="433"/>
    </row>
  </sheetData>
  <mergeCells count="5">
    <mergeCell ref="A3:C3"/>
    <mergeCell ref="A4:C4"/>
    <mergeCell ref="A27:B27"/>
    <mergeCell ref="A1:C1"/>
    <mergeCell ref="A2:C2"/>
  </mergeCells>
  <phoneticPr fontId="2" type="noConversion"/>
  <printOptions horizontalCentered="1"/>
  <pageMargins left="0.75" right="0.75" top="0.65" bottom="0.49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34"/>
  <sheetViews>
    <sheetView topLeftCell="B1" workbookViewId="0">
      <pane xSplit="2" topLeftCell="D1" activePane="topRight" state="frozen"/>
      <selection activeCell="B1" sqref="B1"/>
      <selection pane="topRight" activeCell="E23" sqref="E23"/>
    </sheetView>
  </sheetViews>
  <sheetFormatPr defaultRowHeight="12.75"/>
  <cols>
    <col min="1" max="1" width="9.140625" style="433"/>
    <col min="2" max="2" width="48.42578125" style="433" customWidth="1"/>
    <col min="3" max="3" width="18.5703125" style="433" customWidth="1"/>
    <col min="4" max="16384" width="9.140625" style="433"/>
  </cols>
  <sheetData>
    <row r="1" spans="1:8" s="274" customFormat="1">
      <c r="A1" s="636" t="s">
        <v>420</v>
      </c>
      <c r="B1" s="636"/>
      <c r="C1" s="636"/>
      <c r="D1" s="469"/>
      <c r="E1" s="469"/>
    </row>
    <row r="2" spans="1:8" s="274" customFormat="1">
      <c r="A2" s="636" t="s">
        <v>470</v>
      </c>
      <c r="B2" s="636"/>
      <c r="C2" s="636"/>
      <c r="D2" s="469"/>
      <c r="E2" s="469"/>
    </row>
    <row r="3" spans="1:8" s="274" customFormat="1">
      <c r="A3" s="636" t="s">
        <v>239</v>
      </c>
      <c r="B3" s="655"/>
      <c r="C3" s="655"/>
    </row>
    <row r="4" spans="1:8" s="274" customFormat="1">
      <c r="A4" s="636" t="s">
        <v>392</v>
      </c>
      <c r="B4" s="655"/>
      <c r="C4" s="655"/>
    </row>
    <row r="5" spans="1:8" s="274" customFormat="1"/>
    <row r="6" spans="1:8" s="274" customFormat="1" ht="13.5" thickBot="1">
      <c r="B6" s="141"/>
      <c r="C6" s="464" t="s">
        <v>277</v>
      </c>
    </row>
    <row r="7" spans="1:8" s="274" customFormat="1" ht="13.5" thickTop="1">
      <c r="A7" s="401" t="s">
        <v>25</v>
      </c>
      <c r="B7" s="402" t="s">
        <v>38</v>
      </c>
      <c r="C7" s="403" t="s">
        <v>39</v>
      </c>
    </row>
    <row r="8" spans="1:8" s="274" customFormat="1">
      <c r="A8" s="406" t="s">
        <v>28</v>
      </c>
      <c r="B8" s="407"/>
      <c r="C8" s="403" t="s">
        <v>42</v>
      </c>
    </row>
    <row r="9" spans="1:8" s="274" customFormat="1">
      <c r="A9" s="413"/>
      <c r="B9" s="419" t="s">
        <v>390</v>
      </c>
      <c r="C9" s="465"/>
    </row>
    <row r="10" spans="1:8" s="274" customFormat="1">
      <c r="A10" s="413"/>
      <c r="B10" s="414" t="s">
        <v>312</v>
      </c>
      <c r="C10" s="465"/>
    </row>
    <row r="11" spans="1:8" s="274" customFormat="1">
      <c r="A11" s="413"/>
      <c r="B11" s="414" t="s">
        <v>45</v>
      </c>
      <c r="C11" s="465"/>
    </row>
    <row r="12" spans="1:8" s="274" customFormat="1">
      <c r="A12" s="413"/>
      <c r="B12" s="414" t="s">
        <v>313</v>
      </c>
      <c r="C12" s="465"/>
    </row>
    <row r="13" spans="1:8" s="274" customFormat="1">
      <c r="A13" s="413"/>
      <c r="B13" s="414" t="s">
        <v>263</v>
      </c>
      <c r="C13" s="582">
        <f>457+725</f>
        <v>1182</v>
      </c>
      <c r="G13" s="274">
        <v>6131</v>
      </c>
      <c r="H13" s="274">
        <v>725</v>
      </c>
    </row>
    <row r="14" spans="1:8" s="274" customFormat="1">
      <c r="A14" s="413"/>
      <c r="B14" s="414" t="s">
        <v>58</v>
      </c>
      <c r="C14" s="465"/>
      <c r="F14" s="396" t="s">
        <v>475</v>
      </c>
      <c r="G14" s="274">
        <v>6131</v>
      </c>
      <c r="H14" s="600">
        <f>+H13+'4_Г'!K13</f>
        <v>725</v>
      </c>
    </row>
    <row r="15" spans="1:8" s="274" customFormat="1">
      <c r="A15" s="413"/>
      <c r="B15" s="414" t="s">
        <v>393</v>
      </c>
      <c r="C15" s="465"/>
      <c r="H15" s="274">
        <v>7168</v>
      </c>
    </row>
    <row r="16" spans="1:8" s="274" customFormat="1">
      <c r="A16" s="413"/>
      <c r="B16" s="414" t="s">
        <v>388</v>
      </c>
      <c r="C16" s="465"/>
      <c r="G16" s="396" t="s">
        <v>474</v>
      </c>
      <c r="H16" s="600">
        <f>+H15-H14</f>
        <v>6443</v>
      </c>
    </row>
    <row r="17" spans="1:3" s="274" customFormat="1">
      <c r="A17" s="413"/>
      <c r="B17" s="414" t="s">
        <v>60</v>
      </c>
      <c r="C17" s="465"/>
    </row>
    <row r="18" spans="1:3" s="274" customFormat="1">
      <c r="A18" s="418"/>
      <c r="B18" s="419" t="s">
        <v>319</v>
      </c>
      <c r="C18" s="465">
        <f>SUM(C10:C17)</f>
        <v>1182</v>
      </c>
    </row>
    <row r="19" spans="1:3" s="274" customFormat="1">
      <c r="A19" s="418"/>
      <c r="B19" s="419" t="s">
        <v>315</v>
      </c>
      <c r="C19" s="465"/>
    </row>
    <row r="20" spans="1:3" s="274" customFormat="1">
      <c r="A20" s="413"/>
      <c r="B20" s="414" t="s">
        <v>312</v>
      </c>
      <c r="C20" s="465"/>
    </row>
    <row r="21" spans="1:3" s="274" customFormat="1">
      <c r="A21" s="413"/>
      <c r="B21" s="414" t="s">
        <v>45</v>
      </c>
      <c r="C21" s="465"/>
    </row>
    <row r="22" spans="1:3" s="274" customFormat="1">
      <c r="A22" s="413"/>
      <c r="B22" s="414" t="s">
        <v>58</v>
      </c>
      <c r="C22" s="465"/>
    </row>
    <row r="23" spans="1:3" s="274" customFormat="1">
      <c r="A23" s="413"/>
      <c r="B23" s="414" t="s">
        <v>393</v>
      </c>
      <c r="C23" s="465"/>
    </row>
    <row r="24" spans="1:3" s="274" customFormat="1">
      <c r="A24" s="413"/>
      <c r="B24" s="414" t="s">
        <v>388</v>
      </c>
      <c r="C24" s="465"/>
    </row>
    <row r="25" spans="1:3" s="274" customFormat="1">
      <c r="A25" s="413"/>
      <c r="B25" s="414" t="s">
        <v>60</v>
      </c>
      <c r="C25" s="465"/>
    </row>
    <row r="26" spans="1:3" s="274" customFormat="1" ht="13.5" thickBot="1">
      <c r="A26" s="422"/>
      <c r="B26" s="423" t="s">
        <v>317</v>
      </c>
      <c r="C26" s="425">
        <f>SUM(C20:C25)</f>
        <v>0</v>
      </c>
    </row>
    <row r="27" spans="1:3" s="274" customFormat="1" ht="15.75" thickTop="1" thickBot="1">
      <c r="A27" s="653" t="s">
        <v>314</v>
      </c>
      <c r="B27" s="654"/>
      <c r="C27" s="466">
        <f>C18+C26</f>
        <v>1182</v>
      </c>
    </row>
    <row r="28" spans="1:3" s="274" customFormat="1" ht="13.5" thickTop="1">
      <c r="A28" s="47"/>
      <c r="B28" s="48"/>
      <c r="C28" s="431" t="s">
        <v>35</v>
      </c>
    </row>
    <row r="29" spans="1:3">
      <c r="A29" s="332"/>
      <c r="B29" s="432" t="s">
        <v>36</v>
      </c>
    </row>
    <row r="30" spans="1:3">
      <c r="A30" s="434"/>
      <c r="B30" s="435"/>
    </row>
    <row r="31" spans="1:3" s="274" customFormat="1">
      <c r="A31" s="436" t="s">
        <v>37</v>
      </c>
      <c r="B31" s="2"/>
      <c r="C31" s="2"/>
    </row>
    <row r="32" spans="1:3" s="274" customFormat="1">
      <c r="A32" s="2"/>
      <c r="B32" s="2"/>
      <c r="C32" s="2"/>
    </row>
    <row r="33" spans="1:3" s="274" customFormat="1">
      <c r="A33" s="47"/>
      <c r="B33" s="48"/>
      <c r="C33" s="431" t="s">
        <v>46</v>
      </c>
    </row>
    <row r="34" spans="1:3">
      <c r="A34" s="88"/>
      <c r="B34" s="432" t="s">
        <v>36</v>
      </c>
    </row>
  </sheetData>
  <mergeCells count="5">
    <mergeCell ref="A27:B27"/>
    <mergeCell ref="A1:C1"/>
    <mergeCell ref="A2:C2"/>
    <mergeCell ref="A3:C3"/>
    <mergeCell ref="A4:C4"/>
  </mergeCells>
  <phoneticPr fontId="2" type="noConversion"/>
  <printOptions horizontalCentered="1"/>
  <pageMargins left="0.75" right="0.75" top="0.55000000000000004" bottom="1" header="0.5" footer="0.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2"/>
  <sheetViews>
    <sheetView workbookViewId="0">
      <selection activeCell="G29" sqref="G28:G29"/>
    </sheetView>
  </sheetViews>
  <sheetFormatPr defaultRowHeight="12.75"/>
  <cols>
    <col min="3" max="3" width="48.85546875" customWidth="1"/>
    <col min="4" max="4" width="12.7109375" customWidth="1"/>
    <col min="5" max="5" width="12.28515625" customWidth="1"/>
    <col min="6" max="6" width="12.7109375" customWidth="1"/>
  </cols>
  <sheetData>
    <row r="1" spans="1:6" s="274" customFormat="1">
      <c r="A1" s="636" t="s">
        <v>420</v>
      </c>
      <c r="B1" s="636"/>
      <c r="C1" s="636"/>
      <c r="D1" s="636"/>
      <c r="E1" s="636"/>
      <c r="F1" s="636"/>
    </row>
    <row r="2" spans="1:6" s="274" customFormat="1">
      <c r="A2" s="636" t="s">
        <v>470</v>
      </c>
      <c r="B2" s="636"/>
      <c r="C2" s="636"/>
      <c r="D2" s="636"/>
      <c r="E2" s="636"/>
      <c r="F2" s="636"/>
    </row>
    <row r="3" spans="1:6">
      <c r="A3" s="662" t="s">
        <v>404</v>
      </c>
      <c r="B3" s="663"/>
      <c r="C3" s="663"/>
      <c r="D3" s="663"/>
      <c r="E3" s="663"/>
      <c r="F3" s="663"/>
    </row>
    <row r="4" spans="1:6">
      <c r="A4" s="636" t="s">
        <v>17</v>
      </c>
      <c r="B4" s="664"/>
      <c r="C4" s="664"/>
      <c r="D4" s="664"/>
      <c r="E4" s="664"/>
      <c r="F4" s="664"/>
    </row>
    <row r="5" spans="1:6" ht="13.5" thickBot="1">
      <c r="A5" s="470"/>
      <c r="B5" s="470"/>
      <c r="C5" s="471"/>
      <c r="D5" s="471"/>
      <c r="E5" s="471"/>
      <c r="F5" s="471"/>
    </row>
    <row r="6" spans="1:6" ht="13.5" thickTop="1">
      <c r="A6" s="6"/>
      <c r="B6" s="472"/>
      <c r="C6" s="665" t="s">
        <v>325</v>
      </c>
      <c r="D6" s="473" t="s">
        <v>236</v>
      </c>
      <c r="E6" s="473" t="s">
        <v>22</v>
      </c>
      <c r="F6" s="474" t="s">
        <v>23</v>
      </c>
    </row>
    <row r="7" spans="1:6">
      <c r="A7" s="475" t="s">
        <v>24</v>
      </c>
      <c r="B7" s="476" t="s">
        <v>25</v>
      </c>
      <c r="C7" s="666"/>
      <c r="D7" s="476" t="s">
        <v>237</v>
      </c>
      <c r="E7" s="476" t="s">
        <v>238</v>
      </c>
      <c r="F7" s="477" t="s">
        <v>27</v>
      </c>
    </row>
    <row r="8" spans="1:6">
      <c r="A8" s="475" t="s">
        <v>28</v>
      </c>
      <c r="B8" s="476" t="s">
        <v>235</v>
      </c>
      <c r="C8" s="666"/>
      <c r="D8" s="476" t="s">
        <v>29</v>
      </c>
      <c r="E8" s="476" t="s">
        <v>29</v>
      </c>
      <c r="F8" s="478"/>
    </row>
    <row r="9" spans="1:6" ht="13.5" thickBot="1">
      <c r="A9" s="7"/>
      <c r="B9" s="8"/>
      <c r="C9" s="667"/>
      <c r="D9" s="479" t="s">
        <v>30</v>
      </c>
      <c r="E9" s="479" t="s">
        <v>30</v>
      </c>
      <c r="F9" s="480" t="s">
        <v>30</v>
      </c>
    </row>
    <row r="10" spans="1:6" ht="15" customHeight="1" thickTop="1" thickBot="1">
      <c r="A10" s="481">
        <v>1</v>
      </c>
      <c r="B10" s="482"/>
      <c r="C10" s="483" t="s">
        <v>285</v>
      </c>
      <c r="D10" s="484">
        <v>474</v>
      </c>
      <c r="E10" s="484">
        <v>1104</v>
      </c>
      <c r="F10" s="485">
        <f>E10-D10</f>
        <v>630</v>
      </c>
    </row>
    <row r="11" spans="1:6" ht="15" customHeight="1" thickTop="1">
      <c r="A11" s="50">
        <v>2</v>
      </c>
      <c r="B11" s="486"/>
      <c r="C11" s="483" t="s">
        <v>270</v>
      </c>
      <c r="D11" s="514">
        <v>5</v>
      </c>
      <c r="E11" s="514">
        <v>30</v>
      </c>
      <c r="F11" s="487">
        <f t="shared" ref="F11:F16" si="0">+E11-D11</f>
        <v>25</v>
      </c>
    </row>
    <row r="12" spans="1:6" ht="15" customHeight="1">
      <c r="A12" s="50">
        <v>3</v>
      </c>
      <c r="B12" s="486"/>
      <c r="C12" s="488" t="s">
        <v>326</v>
      </c>
      <c r="D12" s="515">
        <v>2</v>
      </c>
      <c r="E12" s="515">
        <v>2</v>
      </c>
      <c r="F12" s="487">
        <f t="shared" si="0"/>
        <v>0</v>
      </c>
    </row>
    <row r="13" spans="1:6" ht="15" customHeight="1">
      <c r="A13" s="9">
        <v>4</v>
      </c>
      <c r="B13" s="489"/>
      <c r="C13" s="488" t="s">
        <v>329</v>
      </c>
      <c r="D13" s="515">
        <v>161</v>
      </c>
      <c r="E13" s="515">
        <v>172</v>
      </c>
      <c r="F13" s="487">
        <f t="shared" si="0"/>
        <v>11</v>
      </c>
    </row>
    <row r="14" spans="1:6" ht="15" customHeight="1">
      <c r="A14" s="9">
        <v>5</v>
      </c>
      <c r="B14" s="489"/>
      <c r="C14" s="488" t="s">
        <v>307</v>
      </c>
      <c r="D14" s="515"/>
      <c r="E14" s="515"/>
      <c r="F14" s="487">
        <f t="shared" si="0"/>
        <v>0</v>
      </c>
    </row>
    <row r="15" spans="1:6" ht="15" customHeight="1">
      <c r="A15" s="9">
        <v>6</v>
      </c>
      <c r="B15" s="489"/>
      <c r="C15" s="488" t="s">
        <v>327</v>
      </c>
      <c r="D15" s="515">
        <v>2</v>
      </c>
      <c r="E15" s="515">
        <v>3</v>
      </c>
      <c r="F15" s="487">
        <f t="shared" si="0"/>
        <v>1</v>
      </c>
    </row>
    <row r="16" spans="1:6" ht="15" customHeight="1">
      <c r="A16" s="9">
        <v>7</v>
      </c>
      <c r="B16" s="489"/>
      <c r="C16" s="488" t="s">
        <v>328</v>
      </c>
      <c r="D16" s="515"/>
      <c r="E16" s="515"/>
      <c r="F16" s="487">
        <f t="shared" si="0"/>
        <v>0</v>
      </c>
    </row>
    <row r="17" spans="1:8" ht="15" customHeight="1">
      <c r="A17" s="9">
        <v>8</v>
      </c>
      <c r="B17" s="489"/>
      <c r="C17" s="488" t="s">
        <v>273</v>
      </c>
      <c r="D17" s="515">
        <v>794</v>
      </c>
      <c r="E17" s="515">
        <f>2064-E15-E14-E13-E12-E11-E10</f>
        <v>753</v>
      </c>
      <c r="F17" s="490">
        <f>E17-D17</f>
        <v>-41</v>
      </c>
    </row>
    <row r="18" spans="1:8" ht="15" customHeight="1">
      <c r="A18" s="60"/>
      <c r="B18" s="491"/>
      <c r="C18" s="62"/>
      <c r="D18" s="492"/>
      <c r="E18" s="492"/>
      <c r="F18" s="493"/>
    </row>
    <row r="19" spans="1:8" ht="15" customHeight="1" thickBot="1">
      <c r="A19" s="51">
        <v>10</v>
      </c>
      <c r="B19" s="494" t="s">
        <v>33</v>
      </c>
      <c r="C19" s="495"/>
      <c r="D19" s="496">
        <f>SUM(D10:D17)</f>
        <v>1438</v>
      </c>
      <c r="E19" s="496">
        <f>SUM(E10:E17)</f>
        <v>2064</v>
      </c>
      <c r="F19" s="496">
        <f>SUM(F10:F17)</f>
        <v>626</v>
      </c>
    </row>
    <row r="20" spans="1:8" ht="13.5" thickTop="1">
      <c r="A20" s="73"/>
      <c r="B20" s="332"/>
      <c r="C20" s="274"/>
      <c r="D20" s="274"/>
      <c r="E20" s="274"/>
      <c r="F20" s="274"/>
    </row>
    <row r="21" spans="1:8">
      <c r="A21" s="332"/>
      <c r="B21" s="332"/>
      <c r="C21" s="274"/>
      <c r="D21" s="274"/>
      <c r="E21" s="274"/>
      <c r="F21" s="274"/>
    </row>
    <row r="22" spans="1:8">
      <c r="A22" s="429" t="s">
        <v>34</v>
      </c>
      <c r="B22" s="47"/>
      <c r="C22" s="48"/>
      <c r="D22" s="2"/>
      <c r="E22" s="436" t="s">
        <v>35</v>
      </c>
      <c r="F22" s="48"/>
    </row>
    <row r="23" spans="1:8">
      <c r="A23" s="332"/>
      <c r="B23" s="332"/>
      <c r="C23" s="432" t="s">
        <v>36</v>
      </c>
      <c r="D23" s="433"/>
      <c r="E23" s="433"/>
      <c r="F23" s="433"/>
    </row>
    <row r="24" spans="1:8">
      <c r="A24" s="434"/>
      <c r="B24" s="434"/>
      <c r="C24" s="433"/>
      <c r="D24" s="433"/>
      <c r="E24" s="433"/>
      <c r="F24" s="433"/>
    </row>
    <row r="25" spans="1:8">
      <c r="A25" s="436" t="s">
        <v>37</v>
      </c>
      <c r="B25" s="47"/>
      <c r="C25" s="48"/>
      <c r="D25" s="2"/>
      <c r="E25" s="436" t="s">
        <v>35</v>
      </c>
      <c r="F25" s="497"/>
    </row>
    <row r="26" spans="1:8">
      <c r="A26" s="332"/>
      <c r="B26" s="332"/>
      <c r="C26" s="432" t="s">
        <v>36</v>
      </c>
      <c r="D26" s="433"/>
      <c r="E26" s="433"/>
      <c r="F26" s="433"/>
    </row>
    <row r="27" spans="1:8">
      <c r="A27" s="433"/>
      <c r="B27" s="433"/>
      <c r="C27" s="433"/>
      <c r="D27" s="433"/>
      <c r="E27" s="433"/>
      <c r="F27" s="433"/>
    </row>
    <row r="31" spans="1:8">
      <c r="C31" s="572"/>
      <c r="D31" s="573"/>
      <c r="E31" s="573"/>
      <c r="F31" s="573"/>
      <c r="G31" s="573"/>
      <c r="H31" s="573"/>
    </row>
    <row r="32" spans="1:8">
      <c r="C32" s="572"/>
      <c r="D32" s="573"/>
      <c r="E32" s="573"/>
      <c r="F32" s="573"/>
      <c r="G32" s="573"/>
      <c r="H32" s="573"/>
    </row>
    <row r="33" spans="3:8">
      <c r="C33" s="572"/>
      <c r="D33" s="573"/>
      <c r="E33" s="573"/>
      <c r="F33" s="573"/>
      <c r="G33" s="573"/>
      <c r="H33" s="573"/>
    </row>
    <row r="34" spans="3:8">
      <c r="C34" s="572"/>
      <c r="D34" s="573"/>
      <c r="E34" s="573"/>
      <c r="F34" s="573"/>
      <c r="G34" s="573"/>
      <c r="H34" s="573"/>
    </row>
    <row r="35" spans="3:8">
      <c r="C35" s="572"/>
      <c r="D35" s="573"/>
      <c r="E35" s="573"/>
      <c r="F35" s="573"/>
      <c r="G35" s="573"/>
      <c r="H35" s="573"/>
    </row>
    <row r="36" spans="3:8">
      <c r="C36" s="572"/>
      <c r="D36" s="573"/>
      <c r="E36" s="573"/>
      <c r="F36" s="573"/>
      <c r="G36" s="573"/>
      <c r="H36" s="573"/>
    </row>
    <row r="37" spans="3:8">
      <c r="C37" s="572"/>
      <c r="D37" s="573"/>
      <c r="E37" s="573"/>
      <c r="F37" s="573"/>
      <c r="G37" s="573"/>
      <c r="H37" s="573"/>
    </row>
    <row r="38" spans="3:8">
      <c r="C38" s="572"/>
      <c r="D38" s="573"/>
      <c r="E38" s="573"/>
      <c r="F38" s="573"/>
      <c r="G38" s="573"/>
      <c r="H38" s="573"/>
    </row>
    <row r="39" spans="3:8">
      <c r="C39" s="572"/>
      <c r="D39" s="573"/>
      <c r="E39" s="573"/>
      <c r="F39" s="573"/>
      <c r="G39" s="573"/>
      <c r="H39" s="573"/>
    </row>
    <row r="40" spans="3:8">
      <c r="C40" s="572"/>
      <c r="D40" s="573"/>
      <c r="E40" s="573"/>
      <c r="F40" s="573"/>
      <c r="G40" s="573"/>
      <c r="H40" s="573"/>
    </row>
    <row r="41" spans="3:8">
      <c r="C41" s="572"/>
      <c r="D41" s="573"/>
      <c r="E41" s="573"/>
      <c r="F41" s="573"/>
      <c r="G41" s="573"/>
      <c r="H41" s="573"/>
    </row>
    <row r="42" spans="3:8">
      <c r="C42" s="572"/>
      <c r="D42" s="573"/>
      <c r="E42" s="573"/>
      <c r="F42" s="573"/>
      <c r="G42" s="573"/>
      <c r="H42" s="573"/>
    </row>
  </sheetData>
  <mergeCells count="5">
    <mergeCell ref="A3:F3"/>
    <mergeCell ref="A4:F4"/>
    <mergeCell ref="C6:C9"/>
    <mergeCell ref="A1:F1"/>
    <mergeCell ref="A2:F2"/>
  </mergeCells>
  <phoneticPr fontId="2" type="noConversion"/>
  <printOptions horizontalCentered="1"/>
  <pageMargins left="0.75" right="0.75" top="0.67" bottom="0.98425196850393704" header="0.51181102362204722" footer="0.51181102362204722"/>
  <pageSetup paperSize="9" scale="8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A4" sqref="A4"/>
    </sheetView>
  </sheetViews>
  <sheetFormatPr defaultRowHeight="12.75"/>
  <cols>
    <col min="1" max="1" width="8.85546875" customWidth="1"/>
    <col min="2" max="2" width="44" customWidth="1"/>
    <col min="3" max="3" width="18.7109375" customWidth="1"/>
    <col min="4" max="4" width="21.85546875" customWidth="1"/>
    <col min="5" max="5" width="19" customWidth="1"/>
    <col min="6" max="6" width="24.140625" customWidth="1"/>
  </cols>
  <sheetData>
    <row r="1" spans="1:6">
      <c r="A1" s="620" t="s">
        <v>463</v>
      </c>
      <c r="B1" s="621"/>
      <c r="C1" s="621"/>
      <c r="D1" s="621"/>
      <c r="E1" s="621"/>
      <c r="F1" s="621"/>
    </row>
    <row r="2" spans="1:6">
      <c r="A2" s="15"/>
    </row>
    <row r="3" spans="1:6">
      <c r="A3" s="636" t="s">
        <v>470</v>
      </c>
      <c r="B3" s="636"/>
      <c r="C3" s="636"/>
      <c r="D3" s="636"/>
      <c r="E3" s="636"/>
      <c r="F3" s="636"/>
    </row>
    <row r="5" spans="1:6">
      <c r="A5" s="620" t="s">
        <v>250</v>
      </c>
      <c r="B5" s="621"/>
      <c r="C5" s="621"/>
      <c r="D5" s="621"/>
      <c r="E5" s="621"/>
      <c r="F5" s="621"/>
    </row>
    <row r="6" spans="1:6">
      <c r="A6" s="620" t="s">
        <v>209</v>
      </c>
      <c r="B6" s="622"/>
      <c r="C6" s="622"/>
      <c r="D6" s="622"/>
      <c r="E6" s="622"/>
      <c r="F6" s="622"/>
    </row>
    <row r="7" spans="1:6" ht="13.5" thickBot="1"/>
    <row r="8" spans="1:6" ht="13.5" thickTop="1">
      <c r="A8" s="55"/>
      <c r="B8" s="668" t="s">
        <v>210</v>
      </c>
      <c r="C8" s="183">
        <v>-1</v>
      </c>
      <c r="D8" s="183">
        <v>-2</v>
      </c>
      <c r="E8" s="183">
        <v>-3</v>
      </c>
      <c r="F8" s="224">
        <v>-4</v>
      </c>
    </row>
    <row r="9" spans="1:6">
      <c r="A9" s="156" t="s">
        <v>24</v>
      </c>
      <c r="B9" s="669"/>
      <c r="C9" s="671" t="s">
        <v>211</v>
      </c>
      <c r="D9" s="157" t="s">
        <v>51</v>
      </c>
      <c r="E9" s="157" t="s">
        <v>51</v>
      </c>
      <c r="F9" s="158" t="s">
        <v>212</v>
      </c>
    </row>
    <row r="10" spans="1:6" ht="13.5" thickBot="1">
      <c r="A10" s="169" t="s">
        <v>28</v>
      </c>
      <c r="B10" s="670"/>
      <c r="C10" s="670"/>
      <c r="D10" s="159" t="s">
        <v>213</v>
      </c>
      <c r="E10" s="159" t="s">
        <v>214</v>
      </c>
      <c r="F10" s="160" t="s">
        <v>251</v>
      </c>
    </row>
    <row r="11" spans="1:6" ht="13.5" thickTop="1">
      <c r="A11" s="56"/>
      <c r="B11" s="225" t="s">
        <v>215</v>
      </c>
      <c r="C11" s="226"/>
      <c r="D11" s="57"/>
      <c r="E11" s="57"/>
      <c r="F11" s="58"/>
    </row>
    <row r="12" spans="1:6">
      <c r="A12" s="50">
        <v>1</v>
      </c>
      <c r="B12" s="227" t="s">
        <v>216</v>
      </c>
      <c r="C12" s="228" t="s">
        <v>30</v>
      </c>
      <c r="D12" s="25">
        <f>'1'!J75</f>
        <v>4966</v>
      </c>
      <c r="E12" s="25">
        <f>'1'!I75</f>
        <v>4966</v>
      </c>
      <c r="F12" s="11">
        <f t="shared" ref="F12:F18" si="0">+E12-D12</f>
        <v>0</v>
      </c>
    </row>
    <row r="13" spans="1:6">
      <c r="A13" s="9">
        <v>2</v>
      </c>
      <c r="B13" s="161" t="s">
        <v>217</v>
      </c>
      <c r="C13" s="229" t="s">
        <v>0</v>
      </c>
      <c r="D13" s="510">
        <f>'1'!J76/'1'!J88</f>
        <v>-3.782178217821782</v>
      </c>
      <c r="E13" s="510">
        <f>'1'!I76/'1'!I88</f>
        <v>-0.71237985941758719</v>
      </c>
      <c r="F13" s="11">
        <f t="shared" si="0"/>
        <v>3.0697983584041948</v>
      </c>
    </row>
    <row r="14" spans="1:6">
      <c r="A14" s="9">
        <v>3</v>
      </c>
      <c r="B14" s="161" t="s">
        <v>218</v>
      </c>
      <c r="C14" s="229" t="s">
        <v>0</v>
      </c>
      <c r="D14" s="511">
        <f>E13*(D12-D21)+(D19*D20)</f>
        <v>-3537.6071438817958</v>
      </c>
      <c r="E14" s="511">
        <f>F13*(E12-E21)+(E19*E20)</f>
        <v>15244.311667999389</v>
      </c>
      <c r="F14" s="512">
        <f t="shared" si="0"/>
        <v>18781.918811881184</v>
      </c>
    </row>
    <row r="15" spans="1:6">
      <c r="A15" s="9"/>
      <c r="B15" s="166" t="s">
        <v>219</v>
      </c>
      <c r="C15" s="59"/>
      <c r="D15" s="10">
        <f>SUM(D17:D18)</f>
        <v>978</v>
      </c>
      <c r="E15" s="10">
        <f>SUM(E17:E18)</f>
        <v>343</v>
      </c>
      <c r="F15" s="11">
        <f t="shared" si="0"/>
        <v>-635</v>
      </c>
    </row>
    <row r="16" spans="1:6">
      <c r="A16" s="9">
        <v>4</v>
      </c>
      <c r="B16" s="161" t="s">
        <v>220</v>
      </c>
      <c r="C16" s="228" t="s">
        <v>30</v>
      </c>
      <c r="D16" s="10">
        <f>SUM(D17:D18)</f>
        <v>978</v>
      </c>
      <c r="E16" s="10">
        <f>SUM(E17:E18)</f>
        <v>343</v>
      </c>
      <c r="F16" s="11">
        <f t="shared" si="0"/>
        <v>-635</v>
      </c>
    </row>
    <row r="17" spans="1:6">
      <c r="A17" s="9">
        <v>5</v>
      </c>
      <c r="B17" s="161" t="s">
        <v>221</v>
      </c>
      <c r="C17" s="228" t="s">
        <v>30</v>
      </c>
      <c r="D17" s="10"/>
      <c r="E17" s="10"/>
      <c r="F17" s="11">
        <f t="shared" si="0"/>
        <v>0</v>
      </c>
    </row>
    <row r="18" spans="1:6">
      <c r="A18" s="9">
        <v>6</v>
      </c>
      <c r="B18" s="161" t="s">
        <v>465</v>
      </c>
      <c r="C18" s="228" t="s">
        <v>30</v>
      </c>
      <c r="D18" s="10">
        <v>978</v>
      </c>
      <c r="E18" s="10">
        <v>343</v>
      </c>
      <c r="F18" s="11">
        <f t="shared" si="0"/>
        <v>-635</v>
      </c>
    </row>
    <row r="19" spans="1:6">
      <c r="A19" s="9">
        <v>7</v>
      </c>
      <c r="B19" s="161" t="s">
        <v>222</v>
      </c>
      <c r="C19" s="229" t="s">
        <v>0</v>
      </c>
      <c r="D19" s="10"/>
      <c r="E19" s="10"/>
      <c r="F19" s="11"/>
    </row>
    <row r="20" spans="1:6">
      <c r="A20" s="9">
        <v>8</v>
      </c>
      <c r="B20" s="161" t="s">
        <v>223</v>
      </c>
      <c r="C20" s="229" t="s">
        <v>0</v>
      </c>
      <c r="D20" s="10"/>
      <c r="E20" s="10"/>
      <c r="F20" s="11"/>
    </row>
    <row r="21" spans="1:6">
      <c r="A21" s="51">
        <v>9</v>
      </c>
      <c r="B21" s="230" t="s">
        <v>224</v>
      </c>
      <c r="C21" s="231" t="s">
        <v>0</v>
      </c>
      <c r="D21" s="509">
        <v>0.1</v>
      </c>
      <c r="E21" s="509">
        <v>0.1</v>
      </c>
      <c r="F21" s="64">
        <v>0</v>
      </c>
    </row>
    <row r="22" spans="1:6">
      <c r="A22" s="60"/>
      <c r="B22" s="61"/>
      <c r="C22" s="69"/>
      <c r="D22" s="62"/>
      <c r="E22" s="62"/>
      <c r="F22" s="63"/>
    </row>
    <row r="23" spans="1:6">
      <c r="A23" s="66">
        <v>10</v>
      </c>
      <c r="B23" s="232" t="s">
        <v>225</v>
      </c>
      <c r="C23" s="228" t="s">
        <v>30</v>
      </c>
      <c r="D23" s="67"/>
      <c r="E23" s="67"/>
      <c r="F23" s="68"/>
    </row>
    <row r="24" spans="1:6" ht="13.5" thickBot="1">
      <c r="A24" s="12">
        <v>11</v>
      </c>
      <c r="B24" s="233" t="s">
        <v>226</v>
      </c>
      <c r="C24" s="234" t="s">
        <v>0</v>
      </c>
      <c r="D24" s="13"/>
      <c r="E24" s="13"/>
      <c r="F24" s="14"/>
    </row>
    <row r="25" spans="1:6" ht="13.5" thickTop="1">
      <c r="A25" s="54"/>
      <c r="B25" s="54"/>
      <c r="C25" s="54"/>
      <c r="D25" s="54"/>
      <c r="E25" s="54"/>
      <c r="F25" s="54"/>
    </row>
    <row r="26" spans="1:6">
      <c r="A26" s="235"/>
      <c r="B26" s="54"/>
      <c r="C26" s="54"/>
      <c r="D26" s="54"/>
      <c r="E26" s="54"/>
      <c r="F26" s="54"/>
    </row>
    <row r="27" spans="1:6">
      <c r="A27" s="236">
        <v>-1</v>
      </c>
      <c r="B27" s="235" t="s">
        <v>227</v>
      </c>
      <c r="C27" s="54"/>
      <c r="D27" s="54"/>
      <c r="E27" s="54"/>
      <c r="F27" s="54"/>
    </row>
    <row r="28" spans="1:6">
      <c r="A28" s="236">
        <v>-2</v>
      </c>
      <c r="B28" s="235" t="s">
        <v>228</v>
      </c>
      <c r="D28" s="54"/>
      <c r="E28" s="54"/>
      <c r="F28" s="54"/>
    </row>
    <row r="29" spans="1:6">
      <c r="A29" s="236">
        <v>-3</v>
      </c>
      <c r="B29" s="235" t="s">
        <v>229</v>
      </c>
      <c r="C29" s="54"/>
      <c r="D29" s="54"/>
      <c r="E29" s="54"/>
      <c r="F29" s="54"/>
    </row>
    <row r="30" spans="1:6">
      <c r="A30" s="65"/>
      <c r="B30" s="54"/>
      <c r="C30" s="54"/>
      <c r="D30" s="54"/>
      <c r="E30" s="54"/>
      <c r="F30" s="54"/>
    </row>
    <row r="31" spans="1:6">
      <c r="A31" s="65"/>
      <c r="B31" s="235" t="s">
        <v>230</v>
      </c>
      <c r="C31" s="54"/>
      <c r="D31" s="54"/>
      <c r="E31" s="54"/>
      <c r="F31" s="54"/>
    </row>
    <row r="32" spans="1:6">
      <c r="A32" s="65"/>
      <c r="B32" s="54"/>
      <c r="C32" s="54"/>
      <c r="D32" s="54"/>
      <c r="E32" s="54"/>
      <c r="F32" s="54"/>
    </row>
    <row r="33" spans="1:6">
      <c r="A33" s="65"/>
      <c r="B33" s="54"/>
      <c r="C33" s="54"/>
      <c r="D33" s="54"/>
      <c r="E33" s="54"/>
      <c r="F33" s="54"/>
    </row>
    <row r="34" spans="1:6">
      <c r="A34" s="65"/>
      <c r="B34" s="54"/>
      <c r="C34" s="54"/>
      <c r="D34" s="54"/>
      <c r="E34" s="54"/>
      <c r="F34" s="54"/>
    </row>
    <row r="36" spans="1:6">
      <c r="A36" s="162" t="s">
        <v>34</v>
      </c>
      <c r="B36" s="47"/>
      <c r="C36" s="2"/>
      <c r="D36" s="163" t="s">
        <v>46</v>
      </c>
      <c r="E36" s="48"/>
    </row>
    <row r="37" spans="1:6">
      <c r="A37" s="1"/>
      <c r="B37" s="5"/>
    </row>
    <row r="38" spans="1:6">
      <c r="A38" s="1"/>
      <c r="B38" s="164" t="s">
        <v>36</v>
      </c>
      <c r="C38" s="16"/>
    </row>
    <row r="39" spans="1:6">
      <c r="A39" s="1"/>
      <c r="B39" s="1"/>
    </row>
    <row r="40" spans="1:6">
      <c r="A40" s="163" t="s">
        <v>37</v>
      </c>
      <c r="B40" s="47"/>
      <c r="C40" s="2"/>
      <c r="D40" s="163" t="s">
        <v>46</v>
      </c>
      <c r="E40" s="5"/>
    </row>
    <row r="41" spans="1:6">
      <c r="A41" s="1"/>
      <c r="B41" s="5"/>
    </row>
    <row r="42" spans="1:6">
      <c r="B42" s="164" t="s">
        <v>36</v>
      </c>
    </row>
  </sheetData>
  <mergeCells count="6">
    <mergeCell ref="B8:B10"/>
    <mergeCell ref="C9:C10"/>
    <mergeCell ref="A1:F1"/>
    <mergeCell ref="A3:F3"/>
    <mergeCell ref="A5:F5"/>
    <mergeCell ref="A6:F6"/>
  </mergeCells>
  <phoneticPr fontId="2" type="noConversion"/>
  <pageMargins left="0.74803149606299213" right="0.74803149606299213" top="0.28999999999999998" bottom="0.23" header="0.51181102362204722" footer="0.51181102362204722"/>
  <pageSetup scale="8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9"/>
  <sheetViews>
    <sheetView topLeftCell="A4" workbookViewId="0">
      <selection activeCell="I36" sqref="I36"/>
    </sheetView>
  </sheetViews>
  <sheetFormatPr defaultRowHeight="12.75"/>
  <cols>
    <col min="1" max="1" width="6.85546875" customWidth="1"/>
    <col min="2" max="2" width="7" customWidth="1"/>
    <col min="3" max="3" width="31.28515625" customWidth="1"/>
    <col min="4" max="6" width="11.85546875" bestFit="1" customWidth="1"/>
    <col min="7" max="8" width="13.28515625" bestFit="1" customWidth="1"/>
    <col min="9" max="9" width="17.85546875" bestFit="1" customWidth="1"/>
    <col min="10" max="11" width="15.85546875" bestFit="1" customWidth="1"/>
    <col min="12" max="12" width="11.28515625" bestFit="1" customWidth="1"/>
  </cols>
  <sheetData>
    <row r="1" spans="1:13">
      <c r="A1" s="620" t="s">
        <v>463</v>
      </c>
      <c r="B1" s="621"/>
      <c r="C1" s="621"/>
      <c r="D1" s="621"/>
      <c r="E1" s="621"/>
      <c r="F1" s="621"/>
      <c r="H1" s="636" t="s">
        <v>470</v>
      </c>
      <c r="I1" s="636"/>
      <c r="J1" s="636"/>
      <c r="K1" s="636"/>
      <c r="L1" s="636"/>
      <c r="M1" s="469"/>
    </row>
    <row r="2" spans="1:13">
      <c r="A2" s="46"/>
    </row>
    <row r="3" spans="1:13">
      <c r="A3" s="612" t="s">
        <v>242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</row>
    <row r="4" spans="1:13">
      <c r="A4" s="612" t="s">
        <v>19</v>
      </c>
      <c r="B4" s="678"/>
      <c r="C4" s="678"/>
      <c r="D4" s="678"/>
      <c r="E4" s="678"/>
      <c r="F4" s="678"/>
      <c r="G4" s="678"/>
      <c r="H4" s="678"/>
      <c r="I4" s="678"/>
      <c r="J4" s="678"/>
      <c r="K4" s="678"/>
      <c r="L4" s="678"/>
    </row>
    <row r="5" spans="1:13" ht="13.5" thickBot="1"/>
    <row r="6" spans="1:13" ht="14.25" thickTop="1" thickBot="1">
      <c r="A6" s="17"/>
      <c r="B6" s="18"/>
      <c r="C6" s="19"/>
      <c r="D6" s="679" t="s">
        <v>74</v>
      </c>
      <c r="E6" s="680"/>
      <c r="F6" s="681"/>
      <c r="G6" s="682" t="s">
        <v>75</v>
      </c>
      <c r="H6" s="683"/>
      <c r="I6" s="684"/>
      <c r="J6" s="685" t="s">
        <v>76</v>
      </c>
      <c r="K6" s="683"/>
      <c r="L6" s="684"/>
    </row>
    <row r="7" spans="1:13" ht="13.5" thickTop="1">
      <c r="A7" s="20"/>
      <c r="B7" s="21"/>
      <c r="C7" s="652" t="s">
        <v>77</v>
      </c>
      <c r="D7" s="156" t="s">
        <v>78</v>
      </c>
      <c r="E7" s="157" t="s">
        <v>79</v>
      </c>
      <c r="F7" s="158" t="s">
        <v>23</v>
      </c>
      <c r="G7" s="167" t="s">
        <v>78</v>
      </c>
      <c r="H7" s="154" t="s">
        <v>79</v>
      </c>
      <c r="I7" s="155" t="s">
        <v>23</v>
      </c>
      <c r="J7" s="153" t="s">
        <v>78</v>
      </c>
      <c r="K7" s="154" t="s">
        <v>79</v>
      </c>
      <c r="L7" s="155" t="s">
        <v>23</v>
      </c>
    </row>
    <row r="8" spans="1:13">
      <c r="A8" s="156" t="s">
        <v>24</v>
      </c>
      <c r="B8" s="157" t="s">
        <v>25</v>
      </c>
      <c r="C8" s="672"/>
      <c r="D8" s="156" t="s">
        <v>26</v>
      </c>
      <c r="E8" s="157" t="s">
        <v>26</v>
      </c>
      <c r="F8" s="158" t="s">
        <v>27</v>
      </c>
      <c r="G8" s="156" t="s">
        <v>26</v>
      </c>
      <c r="H8" s="157" t="s">
        <v>26</v>
      </c>
      <c r="I8" s="158" t="s">
        <v>27</v>
      </c>
      <c r="J8" s="168" t="s">
        <v>26</v>
      </c>
      <c r="K8" s="157" t="s">
        <v>26</v>
      </c>
      <c r="L8" s="158" t="s">
        <v>27</v>
      </c>
    </row>
    <row r="9" spans="1:13">
      <c r="A9" s="156" t="s">
        <v>28</v>
      </c>
      <c r="B9" s="157" t="s">
        <v>235</v>
      </c>
      <c r="C9" s="672"/>
      <c r="D9" s="156" t="s">
        <v>80</v>
      </c>
      <c r="E9" s="157" t="s">
        <v>80</v>
      </c>
      <c r="F9" s="158"/>
      <c r="G9" s="156" t="s">
        <v>80</v>
      </c>
      <c r="H9" s="157" t="s">
        <v>80</v>
      </c>
      <c r="I9" s="158" t="s">
        <v>81</v>
      </c>
      <c r="J9" s="168" t="s">
        <v>80</v>
      </c>
      <c r="K9" s="157" t="s">
        <v>80</v>
      </c>
      <c r="L9" s="158" t="s">
        <v>82</v>
      </c>
    </row>
    <row r="10" spans="1:13" ht="13.5" thickBot="1">
      <c r="A10" s="7"/>
      <c r="B10" s="8"/>
      <c r="C10" s="673"/>
      <c r="D10" s="169" t="s">
        <v>30</v>
      </c>
      <c r="E10" s="159" t="s">
        <v>30</v>
      </c>
      <c r="F10" s="160" t="s">
        <v>30</v>
      </c>
      <c r="G10" s="170" t="s">
        <v>83</v>
      </c>
      <c r="H10" s="170" t="s">
        <v>83</v>
      </c>
      <c r="I10" s="170" t="s">
        <v>83</v>
      </c>
      <c r="J10" s="171" t="s">
        <v>84</v>
      </c>
      <c r="K10" s="171" t="s">
        <v>84</v>
      </c>
      <c r="L10" s="172" t="s">
        <v>78</v>
      </c>
    </row>
    <row r="11" spans="1:13" ht="13.5" thickTop="1">
      <c r="A11" s="173"/>
      <c r="B11" s="174" t="s">
        <v>243</v>
      </c>
      <c r="C11" s="23"/>
      <c r="D11" s="24"/>
      <c r="E11" s="25"/>
      <c r="F11" s="26"/>
      <c r="G11" s="24"/>
      <c r="H11" s="25"/>
      <c r="I11" s="26"/>
      <c r="J11" s="24"/>
      <c r="K11" s="25"/>
      <c r="L11" s="26"/>
    </row>
    <row r="12" spans="1:13">
      <c r="A12" s="27">
        <v>1</v>
      </c>
      <c r="B12" s="28"/>
      <c r="C12" s="175" t="s">
        <v>85</v>
      </c>
      <c r="D12" s="30"/>
      <c r="E12" s="10"/>
      <c r="F12" s="11">
        <f>+E12-D12</f>
        <v>0</v>
      </c>
      <c r="G12" s="30"/>
      <c r="H12" s="10"/>
      <c r="I12" s="11">
        <f>+H12-G12</f>
        <v>0</v>
      </c>
      <c r="J12" s="30"/>
      <c r="K12" s="10"/>
      <c r="L12" s="11">
        <f>+K12-J12</f>
        <v>0</v>
      </c>
    </row>
    <row r="13" spans="1:13">
      <c r="A13" s="27">
        <v>2</v>
      </c>
      <c r="B13" s="28"/>
      <c r="C13" s="175" t="s">
        <v>86</v>
      </c>
      <c r="D13" s="30"/>
      <c r="E13" s="10"/>
      <c r="F13" s="11">
        <f t="shared" ref="F13:F21" si="0">+E13-D13</f>
        <v>0</v>
      </c>
      <c r="G13" s="30"/>
      <c r="H13" s="10"/>
      <c r="I13" s="11">
        <f>+H13-G13</f>
        <v>0</v>
      </c>
      <c r="J13" s="30"/>
      <c r="K13" s="10">
        <v>3</v>
      </c>
      <c r="L13" s="11">
        <f>+K13-J13</f>
        <v>3</v>
      </c>
    </row>
    <row r="14" spans="1:13">
      <c r="A14" s="27">
        <v>3</v>
      </c>
      <c r="B14" s="28"/>
      <c r="C14" s="175" t="s">
        <v>87</v>
      </c>
      <c r="D14" s="499">
        <v>3774</v>
      </c>
      <c r="E14" s="499">
        <f>4171-E13-E12</f>
        <v>4171</v>
      </c>
      <c r="F14" s="500">
        <f t="shared" si="0"/>
        <v>397</v>
      </c>
      <c r="G14" s="499">
        <v>59340.425000000003</v>
      </c>
      <c r="H14" s="499">
        <f>71093-H13-H12</f>
        <v>71093</v>
      </c>
      <c r="I14" s="500">
        <f>+H14-G14</f>
        <v>11752.574999999997</v>
      </c>
      <c r="J14" s="519">
        <v>1</v>
      </c>
      <c r="K14" s="519">
        <v>1</v>
      </c>
      <c r="L14" s="11">
        <f>+K14-J14</f>
        <v>0</v>
      </c>
    </row>
    <row r="15" spans="1:13">
      <c r="A15" s="27">
        <v>4</v>
      </c>
      <c r="B15" s="28"/>
      <c r="C15" s="175" t="s">
        <v>88</v>
      </c>
      <c r="D15" s="499"/>
      <c r="E15" s="499"/>
      <c r="F15" s="500">
        <f t="shared" si="0"/>
        <v>0</v>
      </c>
      <c r="G15" s="499"/>
      <c r="H15" s="499"/>
      <c r="I15" s="500">
        <f>+H15-G15</f>
        <v>0</v>
      </c>
      <c r="J15" s="519"/>
      <c r="K15" s="519"/>
      <c r="L15" s="11">
        <f>+K15-J15</f>
        <v>0</v>
      </c>
    </row>
    <row r="16" spans="1:13">
      <c r="A16" s="27">
        <v>5</v>
      </c>
      <c r="B16" s="28"/>
      <c r="C16" s="176" t="s">
        <v>89</v>
      </c>
      <c r="D16" s="500">
        <f>SUM(D12:D15)</f>
        <v>3774</v>
      </c>
      <c r="E16" s="500">
        <f t="shared" ref="E16:L16" si="1">SUM(E12:E15)</f>
        <v>4171</v>
      </c>
      <c r="F16" s="500">
        <f t="shared" si="1"/>
        <v>397</v>
      </c>
      <c r="G16" s="500">
        <f>SUM(G12:G15)</f>
        <v>59340.425000000003</v>
      </c>
      <c r="H16" s="500">
        <f t="shared" si="1"/>
        <v>71093</v>
      </c>
      <c r="I16" s="500">
        <f t="shared" si="1"/>
        <v>11752.574999999997</v>
      </c>
      <c r="J16" s="520">
        <f>SUM(J12:J15)</f>
        <v>1</v>
      </c>
      <c r="K16" s="520">
        <f t="shared" si="1"/>
        <v>4</v>
      </c>
      <c r="L16" s="11">
        <f t="shared" si="1"/>
        <v>3</v>
      </c>
    </row>
    <row r="17" spans="1:12">
      <c r="A17" s="177"/>
      <c r="B17" s="178" t="s">
        <v>90</v>
      </c>
      <c r="C17" s="137"/>
      <c r="D17" s="498"/>
      <c r="E17" s="498"/>
      <c r="F17" s="500">
        <f t="shared" si="0"/>
        <v>0</v>
      </c>
      <c r="G17" s="499"/>
      <c r="H17" s="499"/>
      <c r="I17" s="500">
        <f>+H17-G17</f>
        <v>0</v>
      </c>
      <c r="J17" s="519"/>
      <c r="K17" s="519"/>
      <c r="L17" s="11">
        <f>+K17-J17</f>
        <v>0</v>
      </c>
    </row>
    <row r="18" spans="1:12">
      <c r="A18" s="248">
        <v>7</v>
      </c>
      <c r="B18" s="249"/>
      <c r="C18" s="250" t="s">
        <v>264</v>
      </c>
      <c r="D18" s="499">
        <v>2926</v>
      </c>
      <c r="E18" s="499">
        <v>2908</v>
      </c>
      <c r="F18" s="500">
        <f t="shared" si="0"/>
        <v>-18</v>
      </c>
      <c r="G18" s="499">
        <v>67959.036599999992</v>
      </c>
      <c r="H18" s="499">
        <v>76643</v>
      </c>
      <c r="I18" s="500">
        <f>+H18-G18</f>
        <v>8683.9634000000078</v>
      </c>
      <c r="J18" s="519">
        <v>12287</v>
      </c>
      <c r="K18" s="519">
        <v>12647</v>
      </c>
      <c r="L18" s="11">
        <f>+K18-J18</f>
        <v>360</v>
      </c>
    </row>
    <row r="19" spans="1:12">
      <c r="A19" s="248">
        <v>8</v>
      </c>
      <c r="B19" s="249"/>
      <c r="C19" s="250" t="s">
        <v>265</v>
      </c>
      <c r="D19" s="499">
        <v>191</v>
      </c>
      <c r="E19" s="499">
        <v>263</v>
      </c>
      <c r="F19" s="500">
        <f t="shared" si="0"/>
        <v>72</v>
      </c>
      <c r="G19" s="499">
        <v>3178.5884099999998</v>
      </c>
      <c r="H19" s="499">
        <v>4391</v>
      </c>
      <c r="I19" s="500">
        <f>+H19-G19</f>
        <v>1212.4115900000002</v>
      </c>
      <c r="J19" s="519">
        <v>15</v>
      </c>
      <c r="K19" s="519">
        <v>17</v>
      </c>
      <c r="L19" s="11">
        <f>+K19-J19</f>
        <v>2</v>
      </c>
    </row>
    <row r="20" spans="1:12">
      <c r="A20" s="248">
        <v>9</v>
      </c>
      <c r="B20" s="249"/>
      <c r="C20" s="250" t="s">
        <v>266</v>
      </c>
      <c r="D20" s="499">
        <v>1023</v>
      </c>
      <c r="E20" s="499">
        <v>1024</v>
      </c>
      <c r="F20" s="500">
        <f t="shared" si="0"/>
        <v>1</v>
      </c>
      <c r="G20" s="499">
        <v>13371.417530000001</v>
      </c>
      <c r="H20" s="499">
        <v>14045</v>
      </c>
      <c r="I20" s="500">
        <f>+H20-G20</f>
        <v>673.58246999999938</v>
      </c>
      <c r="J20" s="519">
        <v>61</v>
      </c>
      <c r="K20" s="519">
        <v>61</v>
      </c>
      <c r="L20" s="11">
        <f>+K20-J20</f>
        <v>0</v>
      </c>
    </row>
    <row r="21" spans="1:12">
      <c r="A21" s="248">
        <v>10</v>
      </c>
      <c r="B21" s="249"/>
      <c r="C21" s="250" t="s">
        <v>267</v>
      </c>
      <c r="D21" s="498"/>
      <c r="E21" s="498"/>
      <c r="F21" s="500">
        <f t="shared" si="0"/>
        <v>0</v>
      </c>
      <c r="G21" s="499"/>
      <c r="H21" s="499"/>
      <c r="I21" s="500">
        <f>+H21-G21</f>
        <v>0</v>
      </c>
      <c r="J21" s="519"/>
      <c r="K21" s="519"/>
      <c r="L21" s="11">
        <f>+K21-J21</f>
        <v>0</v>
      </c>
    </row>
    <row r="22" spans="1:12" ht="13.5" thickBot="1">
      <c r="A22" s="27">
        <v>11</v>
      </c>
      <c r="B22" s="28"/>
      <c r="C22" s="176" t="s">
        <v>92</v>
      </c>
      <c r="D22" s="500">
        <f>SUM(D18:D21)</f>
        <v>4140</v>
      </c>
      <c r="E22" s="500">
        <f t="shared" ref="E22:L22" si="2">SUM(E18:E21)</f>
        <v>4195</v>
      </c>
      <c r="F22" s="500">
        <f t="shared" si="2"/>
        <v>55</v>
      </c>
      <c r="G22" s="500">
        <f>SUM(G18:G21)</f>
        <v>84509.042539999995</v>
      </c>
      <c r="H22" s="500">
        <f t="shared" si="2"/>
        <v>95079</v>
      </c>
      <c r="I22" s="500">
        <f t="shared" si="2"/>
        <v>10569.957460000007</v>
      </c>
      <c r="J22" s="520">
        <f>SUM(J18:J21)</f>
        <v>12363</v>
      </c>
      <c r="K22" s="520">
        <f t="shared" si="2"/>
        <v>12725</v>
      </c>
      <c r="L22" s="11">
        <f t="shared" si="2"/>
        <v>362</v>
      </c>
    </row>
    <row r="23" spans="1:12" ht="14.25" thickTop="1" thickBot="1">
      <c r="A23" s="27">
        <v>15</v>
      </c>
      <c r="B23" s="179" t="s">
        <v>93</v>
      </c>
      <c r="D23" s="501">
        <f>SUM(D16,D22)</f>
        <v>7914</v>
      </c>
      <c r="E23" s="501">
        <f t="shared" ref="E23:L23" si="3">SUM(E16,E22)</f>
        <v>8366</v>
      </c>
      <c r="F23" s="501">
        <f t="shared" si="3"/>
        <v>452</v>
      </c>
      <c r="G23" s="501">
        <f t="shared" si="3"/>
        <v>143849.46753999998</v>
      </c>
      <c r="H23" s="501">
        <f t="shared" si="3"/>
        <v>166172</v>
      </c>
      <c r="I23" s="501">
        <f t="shared" si="3"/>
        <v>22322.532460000002</v>
      </c>
      <c r="J23" s="501">
        <f t="shared" si="3"/>
        <v>12364</v>
      </c>
      <c r="K23" s="501">
        <f t="shared" si="3"/>
        <v>12729</v>
      </c>
      <c r="L23" s="501">
        <f t="shared" si="3"/>
        <v>365</v>
      </c>
    </row>
    <row r="24" spans="1:12" ht="13.5" thickTop="1">
      <c r="A24" s="27"/>
      <c r="B24" s="28"/>
      <c r="C24" s="32"/>
      <c r="D24" s="502"/>
      <c r="E24" s="503"/>
      <c r="F24" s="504"/>
      <c r="G24" s="33"/>
      <c r="H24" s="34"/>
      <c r="I24" s="34"/>
      <c r="J24" s="34"/>
      <c r="K24" s="34"/>
      <c r="L24" s="35"/>
    </row>
    <row r="25" spans="1:12">
      <c r="A25" s="27">
        <v>16</v>
      </c>
      <c r="B25" s="180" t="s">
        <v>94</v>
      </c>
      <c r="C25" s="29"/>
      <c r="D25" s="498"/>
      <c r="E25" s="499"/>
      <c r="F25" s="500"/>
      <c r="G25" s="36"/>
      <c r="H25" s="37"/>
      <c r="I25" s="37"/>
      <c r="J25" s="37"/>
      <c r="K25" s="37"/>
      <c r="L25" s="38"/>
    </row>
    <row r="26" spans="1:12">
      <c r="A26" s="27">
        <v>17</v>
      </c>
      <c r="B26" s="28"/>
      <c r="C26" s="175" t="s">
        <v>95</v>
      </c>
      <c r="D26" s="499">
        <f>419+93</f>
        <v>512</v>
      </c>
      <c r="E26" s="499">
        <v>2983</v>
      </c>
      <c r="F26" s="500">
        <f>+E26-D26</f>
        <v>2471</v>
      </c>
      <c r="G26" s="36"/>
      <c r="H26" s="37"/>
      <c r="I26" s="37"/>
      <c r="J26" s="37"/>
      <c r="K26" s="37"/>
      <c r="L26" s="38"/>
    </row>
    <row r="27" spans="1:12">
      <c r="A27" s="27">
        <v>18</v>
      </c>
      <c r="B27" s="28"/>
      <c r="C27" s="175" t="s">
        <v>96</v>
      </c>
      <c r="D27" s="499">
        <v>17526</v>
      </c>
      <c r="E27" s="499">
        <v>13788</v>
      </c>
      <c r="F27" s="500">
        <f>+E27-D27</f>
        <v>-3738</v>
      </c>
      <c r="G27" s="36"/>
      <c r="H27" s="37"/>
      <c r="I27" s="37"/>
      <c r="J27" s="37"/>
      <c r="K27" s="37"/>
      <c r="L27" s="38"/>
    </row>
    <row r="28" spans="1:12">
      <c r="A28" s="27">
        <v>19</v>
      </c>
      <c r="B28" s="28"/>
      <c r="C28" s="176" t="s">
        <v>97</v>
      </c>
      <c r="D28" s="499">
        <f>SUM(D26:D27)</f>
        <v>18038</v>
      </c>
      <c r="E28" s="499">
        <f>SUM(E26:E27)</f>
        <v>16771</v>
      </c>
      <c r="F28" s="500">
        <f>SUM(F26:F27)</f>
        <v>-1267</v>
      </c>
      <c r="G28" s="36"/>
      <c r="H28" s="37"/>
      <c r="I28" s="37"/>
      <c r="J28" s="37"/>
      <c r="K28" s="37"/>
      <c r="L28" s="38"/>
    </row>
    <row r="29" spans="1:12" ht="13.5" thickBot="1">
      <c r="A29" s="181"/>
      <c r="B29" s="39"/>
      <c r="C29" s="40"/>
      <c r="D29" s="505"/>
      <c r="E29" s="506"/>
      <c r="F29" s="507"/>
      <c r="G29" s="36"/>
      <c r="H29" s="37"/>
      <c r="I29" s="37"/>
      <c r="J29" s="37"/>
      <c r="K29" s="37"/>
      <c r="L29" s="38"/>
    </row>
    <row r="30" spans="1:12" ht="14.25" thickTop="1" thickBot="1">
      <c r="A30" s="41">
        <v>20</v>
      </c>
      <c r="B30" s="674" t="s">
        <v>80</v>
      </c>
      <c r="C30" s="675"/>
      <c r="D30" s="508">
        <f>SUM(D16,D22,D28)</f>
        <v>25952</v>
      </c>
      <c r="E30" s="508">
        <f>SUM(E16,E22,E28)</f>
        <v>25137</v>
      </c>
      <c r="F30" s="508">
        <f>SUM(F16,F22,F28)</f>
        <v>-815</v>
      </c>
      <c r="G30" s="43"/>
      <c r="H30" s="44"/>
      <c r="I30" s="44"/>
      <c r="J30" s="44"/>
      <c r="K30" s="44"/>
      <c r="L30" s="45"/>
    </row>
    <row r="31" spans="1:12" ht="13.5" thickTop="1">
      <c r="A31" s="1"/>
      <c r="G31" s="3"/>
      <c r="H31" s="3"/>
      <c r="I31" s="3"/>
    </row>
    <row r="32" spans="1:12">
      <c r="A32" s="162" t="s">
        <v>34</v>
      </c>
      <c r="B32" s="47"/>
      <c r="C32" s="48"/>
      <c r="D32" s="182" t="s">
        <v>46</v>
      </c>
      <c r="E32" s="48"/>
      <c r="G32" s="686" t="s">
        <v>37</v>
      </c>
      <c r="H32" s="687"/>
      <c r="I32" s="48"/>
      <c r="J32" s="48"/>
      <c r="K32" s="182" t="s">
        <v>46</v>
      </c>
      <c r="L32" s="48"/>
    </row>
    <row r="33" spans="1:10">
      <c r="A33" s="1"/>
      <c r="B33" s="1"/>
      <c r="C33" s="164" t="s">
        <v>36</v>
      </c>
      <c r="G33" s="1"/>
      <c r="H33" s="1"/>
      <c r="I33" s="676" t="s">
        <v>36</v>
      </c>
      <c r="J33" s="677"/>
    </row>
    <row r="34" spans="1:10">
      <c r="A34" s="1"/>
      <c r="B34" s="1"/>
      <c r="G34" s="3"/>
      <c r="H34" s="3"/>
      <c r="I34" s="3"/>
    </row>
    <row r="35" spans="1:10">
      <c r="G35" s="3"/>
      <c r="H35" s="3"/>
      <c r="I35" s="3"/>
    </row>
    <row r="36" spans="1:10">
      <c r="E36" s="541"/>
    </row>
    <row r="38" spans="1:10">
      <c r="D38" s="558">
        <f>28900-1069</f>
        <v>27831</v>
      </c>
      <c r="E38" s="558">
        <f>30910-1136</f>
        <v>29774</v>
      </c>
    </row>
    <row r="39" spans="1:10">
      <c r="E39" s="564"/>
    </row>
  </sheetData>
  <mergeCells count="11">
    <mergeCell ref="A1:F1"/>
    <mergeCell ref="H1:L1"/>
    <mergeCell ref="C7:C10"/>
    <mergeCell ref="B30:C30"/>
    <mergeCell ref="I33:J33"/>
    <mergeCell ref="A3:L3"/>
    <mergeCell ref="A4:L4"/>
    <mergeCell ref="D6:F6"/>
    <mergeCell ref="G6:I6"/>
    <mergeCell ref="J6:L6"/>
    <mergeCell ref="G32:H32"/>
  </mergeCells>
  <phoneticPr fontId="2" type="noConversion"/>
  <pageMargins left="0.37" right="0.21" top="0.52" bottom="0.27" header="0.5" footer="0.5"/>
  <pageSetup scale="8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M22" sqref="M22"/>
    </sheetView>
  </sheetViews>
  <sheetFormatPr defaultRowHeight="12.75"/>
  <cols>
    <col min="2" max="2" width="18.42578125" customWidth="1"/>
    <col min="3" max="3" width="14.7109375" customWidth="1"/>
    <col min="4" max="4" width="18.85546875" customWidth="1"/>
    <col min="5" max="5" width="18.28515625" customWidth="1"/>
    <col min="6" max="6" width="25.7109375" customWidth="1"/>
  </cols>
  <sheetData>
    <row r="1" spans="1:6">
      <c r="A1" s="636" t="s">
        <v>420</v>
      </c>
      <c r="B1" s="636"/>
      <c r="C1" s="636"/>
      <c r="D1" s="636"/>
      <c r="E1" s="636"/>
      <c r="F1" s="636"/>
    </row>
    <row r="2" spans="1:6">
      <c r="A2" s="636" t="s">
        <v>470</v>
      </c>
      <c r="B2" s="636"/>
      <c r="C2" s="636"/>
      <c r="D2" s="636"/>
      <c r="E2" s="636"/>
      <c r="F2" s="636"/>
    </row>
    <row r="3" spans="1:6">
      <c r="A3" s="46"/>
      <c r="B3" s="52"/>
      <c r="C3" s="53"/>
      <c r="D3" s="53"/>
      <c r="E3" s="53"/>
      <c r="F3" s="53"/>
    </row>
    <row r="4" spans="1:6">
      <c r="A4" s="15"/>
      <c r="B4" s="1"/>
    </row>
    <row r="5" spans="1:6">
      <c r="A5" s="612" t="s">
        <v>245</v>
      </c>
      <c r="B5" s="613"/>
      <c r="C5" s="613"/>
      <c r="D5" s="613"/>
      <c r="E5" s="613"/>
      <c r="F5" s="613"/>
    </row>
    <row r="6" spans="1:6">
      <c r="A6" s="620" t="s">
        <v>20</v>
      </c>
      <c r="B6" s="622"/>
      <c r="C6" s="622"/>
      <c r="D6" s="622"/>
      <c r="E6" s="622"/>
      <c r="F6" s="622"/>
    </row>
    <row r="7" spans="1:6" ht="13.5" thickBot="1"/>
    <row r="8" spans="1:6" ht="13.5" thickTop="1">
      <c r="A8" s="201" t="s">
        <v>114</v>
      </c>
      <c r="B8" s="71"/>
      <c r="C8" s="202" t="s">
        <v>115</v>
      </c>
      <c r="D8" s="690" t="s">
        <v>116</v>
      </c>
      <c r="E8" s="691"/>
      <c r="F8" s="203" t="s">
        <v>117</v>
      </c>
    </row>
    <row r="9" spans="1:6">
      <c r="A9" s="204" t="s">
        <v>28</v>
      </c>
      <c r="B9" s="205" t="s">
        <v>77</v>
      </c>
      <c r="C9" s="205" t="s">
        <v>118</v>
      </c>
      <c r="D9" s="205" t="s">
        <v>31</v>
      </c>
      <c r="E9" s="205" t="s">
        <v>112</v>
      </c>
      <c r="F9" s="206" t="s">
        <v>119</v>
      </c>
    </row>
    <row r="10" spans="1:6" ht="13.5" thickBot="1">
      <c r="A10" s="42"/>
      <c r="B10" s="72"/>
      <c r="C10" s="207" t="s">
        <v>246</v>
      </c>
      <c r="D10" s="207" t="s">
        <v>120</v>
      </c>
      <c r="E10" s="207" t="s">
        <v>120</v>
      </c>
      <c r="F10" s="172" t="s">
        <v>121</v>
      </c>
    </row>
    <row r="11" spans="1:6" ht="13.5" thickTop="1">
      <c r="A11" s="692" t="s">
        <v>122</v>
      </c>
      <c r="B11" s="693"/>
      <c r="C11" s="75"/>
      <c r="D11" s="75"/>
      <c r="E11" s="75"/>
      <c r="F11" s="76"/>
    </row>
    <row r="12" spans="1:6">
      <c r="A12" s="27">
        <v>1</v>
      </c>
      <c r="B12" s="208" t="s">
        <v>85</v>
      </c>
      <c r="C12" s="28"/>
      <c r="D12" s="28"/>
      <c r="E12" s="28"/>
      <c r="F12" s="77"/>
    </row>
    <row r="13" spans="1:6">
      <c r="A13" s="27">
        <v>2</v>
      </c>
      <c r="B13" s="208" t="s">
        <v>86</v>
      </c>
      <c r="C13" s="28"/>
      <c r="D13" s="28"/>
      <c r="E13" s="28"/>
      <c r="F13" s="77"/>
    </row>
    <row r="14" spans="1:6">
      <c r="A14" s="27">
        <v>3</v>
      </c>
      <c r="B14" s="208" t="s">
        <v>87</v>
      </c>
      <c r="C14" s="28"/>
      <c r="D14" s="28"/>
      <c r="E14" s="28"/>
      <c r="F14" s="77"/>
    </row>
    <row r="15" spans="1:6">
      <c r="A15" s="27">
        <v>4</v>
      </c>
      <c r="B15" s="81"/>
      <c r="C15" s="28"/>
      <c r="D15" s="87"/>
      <c r="E15" s="87"/>
      <c r="F15" s="77"/>
    </row>
    <row r="16" spans="1:6">
      <c r="A16" s="78"/>
      <c r="B16" s="79"/>
      <c r="C16" s="79"/>
      <c r="D16" s="79"/>
      <c r="E16" s="79"/>
      <c r="F16" s="80"/>
    </row>
    <row r="17" spans="1:6">
      <c r="A17" s="688" t="s">
        <v>123</v>
      </c>
      <c r="B17" s="689"/>
      <c r="C17" s="28"/>
      <c r="D17" s="28"/>
      <c r="E17" s="28"/>
      <c r="F17" s="77"/>
    </row>
    <row r="18" spans="1:6">
      <c r="A18" s="27">
        <v>5</v>
      </c>
      <c r="B18" s="208" t="s">
        <v>91</v>
      </c>
      <c r="C18" s="28">
        <v>1</v>
      </c>
      <c r="D18" s="552">
        <v>758.33</v>
      </c>
      <c r="E18" s="249">
        <v>0</v>
      </c>
      <c r="F18" s="553">
        <f>SUM(D18:E18)</f>
        <v>758.33</v>
      </c>
    </row>
    <row r="19" spans="1:6">
      <c r="A19" s="27">
        <v>6</v>
      </c>
      <c r="B19" s="208" t="s">
        <v>85</v>
      </c>
      <c r="C19" s="28"/>
      <c r="D19" s="28"/>
      <c r="E19" s="28"/>
      <c r="F19" s="553"/>
    </row>
    <row r="20" spans="1:6">
      <c r="A20" s="27">
        <v>7</v>
      </c>
      <c r="B20" s="208" t="s">
        <v>86</v>
      </c>
      <c r="C20" s="28"/>
      <c r="D20" s="28"/>
      <c r="E20" s="28"/>
      <c r="F20" s="553"/>
    </row>
    <row r="21" spans="1:6">
      <c r="A21" s="27">
        <v>8</v>
      </c>
      <c r="B21" s="208" t="s">
        <v>32</v>
      </c>
      <c r="C21" s="28">
        <v>1</v>
      </c>
      <c r="D21" s="28">
        <v>518</v>
      </c>
      <c r="E21" s="28"/>
      <c r="F21" s="553">
        <f t="shared" ref="F21" si="0">SUM(D21:E21)</f>
        <v>518</v>
      </c>
    </row>
    <row r="22" spans="1:6" ht="13.5" thickBot="1">
      <c r="A22" s="82"/>
      <c r="B22" s="83"/>
      <c r="C22" s="83"/>
      <c r="D22" s="83"/>
      <c r="E22" s="83"/>
      <c r="F22" s="84"/>
    </row>
    <row r="23" spans="1:6" ht="14.25" thickTop="1" thickBot="1">
      <c r="A23" s="85">
        <v>11</v>
      </c>
      <c r="B23" s="209" t="s">
        <v>124</v>
      </c>
      <c r="C23" s="86">
        <f>+C19+C18+C12+C20+C21</f>
        <v>2</v>
      </c>
      <c r="D23" s="210" t="s">
        <v>125</v>
      </c>
      <c r="E23" s="210" t="s">
        <v>125</v>
      </c>
      <c r="F23" s="603">
        <f>SUM(F18:F21)</f>
        <v>1276.33</v>
      </c>
    </row>
    <row r="24" spans="1:6" ht="13.5" thickTop="1">
      <c r="A24" s="73"/>
      <c r="B24" s="74"/>
      <c r="C24" s="74"/>
      <c r="D24" s="74"/>
      <c r="E24" s="74"/>
      <c r="F24" s="74"/>
    </row>
    <row r="25" spans="1:6">
      <c r="A25" s="54"/>
      <c r="B25" s="54"/>
      <c r="C25" s="54"/>
      <c r="D25" s="54"/>
      <c r="E25" s="54"/>
      <c r="F25" s="54"/>
    </row>
    <row r="27" spans="1:6">
      <c r="B27" s="165" t="s">
        <v>126</v>
      </c>
      <c r="C27" s="70"/>
      <c r="D27" s="48"/>
      <c r="E27" s="182" t="s">
        <v>46</v>
      </c>
      <c r="F27" s="48"/>
    </row>
    <row r="28" spans="1:6">
      <c r="B28" s="1"/>
      <c r="C28" s="676" t="s">
        <v>36</v>
      </c>
      <c r="D28" s="677"/>
      <c r="E28" s="4"/>
    </row>
    <row r="29" spans="1:6">
      <c r="B29" s="1"/>
      <c r="C29" s="1"/>
      <c r="E29" s="4"/>
    </row>
    <row r="30" spans="1:6">
      <c r="B30" s="165" t="s">
        <v>37</v>
      </c>
      <c r="C30" s="70"/>
      <c r="D30" s="48"/>
      <c r="E30" s="182" t="s">
        <v>46</v>
      </c>
      <c r="F30" s="48"/>
    </row>
    <row r="31" spans="1:6">
      <c r="B31" s="1"/>
      <c r="C31" s="676" t="s">
        <v>36</v>
      </c>
      <c r="D31" s="677"/>
    </row>
  </sheetData>
  <mergeCells count="9">
    <mergeCell ref="A1:F1"/>
    <mergeCell ref="A2:F2"/>
    <mergeCell ref="A17:B17"/>
    <mergeCell ref="C28:D28"/>
    <mergeCell ref="C31:D31"/>
    <mergeCell ref="A5:F5"/>
    <mergeCell ref="A6:F6"/>
    <mergeCell ref="D8:E8"/>
    <mergeCell ref="A11:B11"/>
  </mergeCells>
  <phoneticPr fontId="2" type="noConversion"/>
  <printOptions horizontalCentered="1"/>
  <pageMargins left="0.75" right="0.75" top="1" bottom="1" header="0.5" footer="0.5"/>
  <pageSetup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2"/>
  <sheetViews>
    <sheetView workbookViewId="0">
      <selection activeCell="G23" sqref="G23"/>
    </sheetView>
  </sheetViews>
  <sheetFormatPr defaultRowHeight="12.75"/>
  <cols>
    <col min="1" max="1" width="17.28515625" customWidth="1"/>
    <col min="2" max="2" width="34.42578125" customWidth="1"/>
    <col min="3" max="4" width="11.7109375" customWidth="1"/>
    <col min="5" max="5" width="14.5703125" customWidth="1"/>
  </cols>
  <sheetData>
    <row r="1" spans="1:6">
      <c r="A1" s="636" t="s">
        <v>420</v>
      </c>
      <c r="B1" s="636"/>
      <c r="C1" s="636"/>
      <c r="D1" s="636"/>
      <c r="E1" s="636"/>
      <c r="F1" s="469"/>
    </row>
    <row r="2" spans="1:6">
      <c r="A2" s="636" t="s">
        <v>468</v>
      </c>
      <c r="B2" s="636"/>
      <c r="C2" s="636"/>
      <c r="D2" s="636"/>
      <c r="E2" s="636"/>
      <c r="F2" s="469"/>
    </row>
    <row r="3" spans="1:6">
      <c r="A3" s="620" t="s">
        <v>257</v>
      </c>
      <c r="B3" s="621"/>
      <c r="C3" s="621"/>
      <c r="D3" s="621"/>
      <c r="E3" s="621"/>
    </row>
    <row r="4" spans="1:6">
      <c r="A4" s="118"/>
    </row>
    <row r="5" spans="1:6">
      <c r="A5" s="620" t="s">
        <v>107</v>
      </c>
      <c r="B5" s="621"/>
      <c r="C5" s="621"/>
      <c r="D5" s="621"/>
      <c r="E5" s="621"/>
    </row>
    <row r="7" spans="1:6">
      <c r="A7" s="191" t="s">
        <v>108</v>
      </c>
      <c r="C7" s="2"/>
      <c r="D7" s="2"/>
    </row>
    <row r="8" spans="1:6" ht="13.5" thickBot="1">
      <c r="B8" s="2"/>
      <c r="C8" s="2"/>
      <c r="D8" s="2"/>
    </row>
    <row r="9" spans="1:6" ht="15" customHeight="1" thickTop="1">
      <c r="A9" s="192" t="s">
        <v>244</v>
      </c>
      <c r="B9" s="193" t="s">
        <v>77</v>
      </c>
      <c r="C9" s="194" t="s">
        <v>109</v>
      </c>
      <c r="D9" s="194" t="s">
        <v>110</v>
      </c>
      <c r="E9" s="195" t="s">
        <v>111</v>
      </c>
    </row>
    <row r="10" spans="1:6" ht="15" customHeight="1" thickBot="1">
      <c r="A10" s="196" t="s">
        <v>109</v>
      </c>
      <c r="C10" s="197" t="s">
        <v>112</v>
      </c>
      <c r="D10" s="197" t="s">
        <v>109</v>
      </c>
      <c r="E10" s="198" t="s">
        <v>109</v>
      </c>
    </row>
    <row r="11" spans="1:6" ht="15" customHeight="1" thickTop="1">
      <c r="A11" s="138">
        <v>1</v>
      </c>
      <c r="B11" s="199"/>
      <c r="C11" s="142"/>
      <c r="D11" s="91"/>
      <c r="E11" s="143"/>
    </row>
    <row r="12" spans="1:6" ht="15" customHeight="1">
      <c r="A12" s="144">
        <v>2</v>
      </c>
      <c r="B12" s="132"/>
      <c r="C12" s="139"/>
      <c r="D12" s="92"/>
      <c r="E12" s="140"/>
    </row>
    <row r="13" spans="1:6" ht="15" customHeight="1">
      <c r="A13" s="144">
        <v>3</v>
      </c>
      <c r="B13" s="132"/>
      <c r="C13" s="139"/>
      <c r="D13" s="92"/>
      <c r="E13" s="140"/>
    </row>
    <row r="14" spans="1:6" ht="15" customHeight="1">
      <c r="A14" s="144">
        <v>4</v>
      </c>
      <c r="B14" s="132"/>
      <c r="C14" s="139"/>
      <c r="D14" s="92"/>
      <c r="E14" s="140"/>
    </row>
    <row r="15" spans="1:6" ht="15" customHeight="1" thickBot="1">
      <c r="A15" s="146">
        <v>5</v>
      </c>
      <c r="B15" s="147"/>
      <c r="C15" s="148"/>
      <c r="D15" s="93"/>
      <c r="E15" s="149"/>
    </row>
    <row r="16" spans="1:6" ht="15" customHeight="1" thickTop="1">
      <c r="B16" s="3"/>
      <c r="C16" s="2"/>
    </row>
    <row r="17" spans="1:5" ht="15" customHeight="1">
      <c r="A17" s="200" t="s">
        <v>113</v>
      </c>
      <c r="C17" s="2"/>
    </row>
    <row r="18" spans="1:5" ht="15" customHeight="1" thickBot="1">
      <c r="B18" s="3"/>
      <c r="C18" s="2"/>
    </row>
    <row r="19" spans="1:5" ht="15" customHeight="1" thickTop="1">
      <c r="A19" s="192" t="s">
        <v>244</v>
      </c>
      <c r="B19" s="193" t="s">
        <v>77</v>
      </c>
      <c r="C19" s="194" t="s">
        <v>109</v>
      </c>
      <c r="D19" s="194" t="s">
        <v>110</v>
      </c>
      <c r="E19" s="195" t="s">
        <v>111</v>
      </c>
    </row>
    <row r="20" spans="1:5" ht="15" customHeight="1" thickBot="1">
      <c r="A20" s="196" t="s">
        <v>109</v>
      </c>
      <c r="C20" s="197" t="s">
        <v>112</v>
      </c>
      <c r="D20" s="197" t="s">
        <v>109</v>
      </c>
      <c r="E20" s="237" t="s">
        <v>109</v>
      </c>
    </row>
    <row r="21" spans="1:5" ht="15" customHeight="1" thickTop="1">
      <c r="A21" s="138">
        <v>1</v>
      </c>
      <c r="B21" s="199"/>
      <c r="C21" s="142"/>
      <c r="D21" s="91"/>
      <c r="E21" s="143"/>
    </row>
    <row r="22" spans="1:5" ht="15" customHeight="1">
      <c r="A22" s="144">
        <v>2</v>
      </c>
      <c r="B22" s="132"/>
      <c r="C22" s="139"/>
      <c r="D22" s="92"/>
      <c r="E22" s="140"/>
    </row>
    <row r="23" spans="1:5" ht="15" customHeight="1">
      <c r="A23" s="144">
        <v>3</v>
      </c>
      <c r="B23" s="132"/>
      <c r="C23" s="139"/>
      <c r="D23" s="92"/>
      <c r="E23" s="140"/>
    </row>
    <row r="24" spans="1:5" ht="15" customHeight="1">
      <c r="A24" s="144">
        <v>4</v>
      </c>
      <c r="B24" s="132"/>
      <c r="C24" s="139"/>
      <c r="D24" s="92"/>
      <c r="E24" s="140"/>
    </row>
    <row r="25" spans="1:5" ht="15" customHeight="1" thickBot="1">
      <c r="A25" s="146">
        <v>5</v>
      </c>
      <c r="B25" s="147"/>
      <c r="C25" s="148"/>
      <c r="D25" s="93"/>
      <c r="E25" s="149"/>
    </row>
    <row r="26" spans="1:5" ht="15" customHeight="1" thickTop="1">
      <c r="A26" s="145"/>
      <c r="B26" s="3"/>
      <c r="C26" s="3"/>
      <c r="D26" s="3"/>
    </row>
    <row r="27" spans="1:5" ht="15" customHeight="1">
      <c r="A27" s="145"/>
      <c r="B27" s="3"/>
      <c r="C27" s="3"/>
      <c r="D27" s="94"/>
    </row>
    <row r="28" spans="1:5" ht="15" customHeight="1">
      <c r="A28" s="165" t="s">
        <v>34</v>
      </c>
      <c r="B28" s="70"/>
      <c r="C28" s="48"/>
      <c r="D28" s="182" t="s">
        <v>35</v>
      </c>
      <c r="E28" s="48"/>
    </row>
    <row r="29" spans="1:5">
      <c r="A29" s="1"/>
      <c r="B29" s="676" t="s">
        <v>36</v>
      </c>
      <c r="C29" s="677"/>
      <c r="D29" s="4"/>
    </row>
    <row r="30" spans="1:5">
      <c r="A30" s="1"/>
      <c r="B30" s="1"/>
      <c r="D30" s="4"/>
    </row>
    <row r="31" spans="1:5">
      <c r="A31" s="165" t="s">
        <v>37</v>
      </c>
      <c r="B31" s="70"/>
      <c r="C31" s="48"/>
      <c r="D31" s="182" t="s">
        <v>35</v>
      </c>
      <c r="E31" s="48"/>
    </row>
    <row r="32" spans="1:5">
      <c r="A32" s="1"/>
      <c r="B32" s="676" t="s">
        <v>36</v>
      </c>
      <c r="C32" s="677"/>
    </row>
  </sheetData>
  <mergeCells count="6">
    <mergeCell ref="A1:E1"/>
    <mergeCell ref="A2:E2"/>
    <mergeCell ref="B29:C29"/>
    <mergeCell ref="B32:C32"/>
    <mergeCell ref="A3:E3"/>
    <mergeCell ref="A5:E5"/>
  </mergeCells>
  <phoneticPr fontId="2" type="noConversion"/>
  <printOptions horizontalCentered="1"/>
  <pageMargins left="0.75" right="0.75" top="0.77" bottom="0.98425196850393704" header="0.88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24"/>
  <sheetViews>
    <sheetView topLeftCell="B82" workbookViewId="0">
      <selection activeCell="D29" sqref="D29"/>
    </sheetView>
  </sheetViews>
  <sheetFormatPr defaultRowHeight="12.75"/>
  <cols>
    <col min="2" max="2" width="49.28515625" customWidth="1"/>
    <col min="3" max="3" width="17.42578125" customWidth="1"/>
    <col min="4" max="4" width="17.7109375" customWidth="1"/>
    <col min="5" max="5" width="16.7109375" customWidth="1"/>
    <col min="6" max="6" width="16.42578125" customWidth="1"/>
    <col min="7" max="7" width="15" customWidth="1"/>
    <col min="8" max="8" width="15.85546875" customWidth="1"/>
    <col min="9" max="9" width="12.85546875" customWidth="1"/>
    <col min="10" max="10" width="9.85546875" bestFit="1" customWidth="1"/>
  </cols>
  <sheetData>
    <row r="1" spans="1:15">
      <c r="A1" s="612" t="s">
        <v>420</v>
      </c>
      <c r="B1" s="613"/>
      <c r="C1" s="613"/>
      <c r="D1" s="613"/>
      <c r="E1" s="613"/>
      <c r="F1" s="613"/>
      <c r="G1" s="613"/>
      <c r="H1" s="613"/>
      <c r="I1" s="613"/>
      <c r="J1" s="613"/>
    </row>
    <row r="2" spans="1:15">
      <c r="A2" s="46"/>
      <c r="B2" s="53"/>
      <c r="C2" s="53"/>
      <c r="D2" s="53"/>
      <c r="E2" s="53"/>
      <c r="F2" s="53"/>
      <c r="G2" s="53"/>
      <c r="H2" s="53"/>
      <c r="I2" s="53"/>
      <c r="J2" s="53"/>
    </row>
    <row r="3" spans="1:15">
      <c r="A3" s="612" t="s">
        <v>470</v>
      </c>
      <c r="B3" s="613"/>
      <c r="C3" s="613"/>
      <c r="D3" s="613"/>
      <c r="E3" s="613"/>
      <c r="F3" s="613"/>
      <c r="G3" s="613"/>
      <c r="H3" s="613"/>
      <c r="I3" s="613"/>
      <c r="J3" s="613"/>
    </row>
    <row r="4" spans="1:15">
      <c r="A4" s="53"/>
      <c r="B4" s="567"/>
      <c r="C4" s="53"/>
      <c r="D4" s="53"/>
      <c r="E4" s="53"/>
      <c r="F4" s="53"/>
      <c r="G4" s="53"/>
      <c r="H4" s="53"/>
      <c r="I4" s="53"/>
      <c r="J4" s="53"/>
    </row>
    <row r="5" spans="1:15">
      <c r="A5" s="612" t="s">
        <v>253</v>
      </c>
      <c r="B5" s="613"/>
      <c r="C5" s="613"/>
      <c r="D5" s="613"/>
      <c r="E5" s="613"/>
      <c r="F5" s="613"/>
      <c r="G5" s="613"/>
      <c r="H5" s="613"/>
      <c r="I5" s="613"/>
      <c r="J5" s="613"/>
    </row>
    <row r="6" spans="1:15">
      <c r="A6" s="612" t="s">
        <v>8</v>
      </c>
      <c r="B6" s="613"/>
      <c r="C6" s="613"/>
      <c r="D6" s="613"/>
      <c r="E6" s="613"/>
      <c r="F6" s="613"/>
      <c r="G6" s="613"/>
      <c r="H6" s="613"/>
      <c r="I6" s="613"/>
      <c r="J6" s="613"/>
    </row>
    <row r="7" spans="1:15" ht="13.5" thickBot="1">
      <c r="A7" s="46"/>
    </row>
    <row r="8" spans="1:15" ht="13.5" thickTop="1">
      <c r="A8" s="95"/>
      <c r="B8" s="95"/>
      <c r="C8" s="609" t="s">
        <v>128</v>
      </c>
      <c r="D8" s="610"/>
      <c r="E8" s="609" t="s">
        <v>128</v>
      </c>
      <c r="F8" s="610"/>
      <c r="G8" s="609" t="s">
        <v>129</v>
      </c>
      <c r="H8" s="610"/>
      <c r="I8" s="609" t="s">
        <v>130</v>
      </c>
      <c r="J8" s="611"/>
    </row>
    <row r="9" spans="1:15">
      <c r="A9" s="106"/>
      <c r="B9" s="373" t="s">
        <v>166</v>
      </c>
      <c r="C9" s="606" t="s">
        <v>131</v>
      </c>
      <c r="D9" s="607"/>
      <c r="E9" s="606" t="s">
        <v>131</v>
      </c>
      <c r="F9" s="607"/>
      <c r="G9" s="606" t="s">
        <v>131</v>
      </c>
      <c r="H9" s="607"/>
      <c r="I9" s="606" t="s">
        <v>131</v>
      </c>
      <c r="J9" s="608"/>
    </row>
    <row r="10" spans="1:15">
      <c r="A10" s="106"/>
      <c r="B10" s="106"/>
      <c r="C10" s="166" t="s">
        <v>332</v>
      </c>
      <c r="D10" s="240"/>
      <c r="E10" s="166" t="s">
        <v>333</v>
      </c>
      <c r="F10" s="240"/>
      <c r="G10" s="205"/>
      <c r="H10" s="238"/>
      <c r="I10" s="205"/>
      <c r="J10" s="239"/>
    </row>
    <row r="11" spans="1:15">
      <c r="A11" s="204" t="s">
        <v>24</v>
      </c>
      <c r="B11" s="204" t="s">
        <v>132</v>
      </c>
      <c r="C11" s="205" t="s">
        <v>79</v>
      </c>
      <c r="D11" s="205" t="s">
        <v>78</v>
      </c>
      <c r="E11" s="205" t="s">
        <v>79</v>
      </c>
      <c r="F11" s="205" t="s">
        <v>78</v>
      </c>
      <c r="G11" s="205" t="s">
        <v>79</v>
      </c>
      <c r="H11" s="205" t="s">
        <v>78</v>
      </c>
      <c r="I11" s="205" t="s">
        <v>79</v>
      </c>
      <c r="J11" s="206" t="s">
        <v>78</v>
      </c>
    </row>
    <row r="12" spans="1:15">
      <c r="A12" s="204" t="s">
        <v>28</v>
      </c>
      <c r="B12" s="204"/>
      <c r="C12" s="205" t="s">
        <v>133</v>
      </c>
      <c r="D12" s="205" t="s">
        <v>133</v>
      </c>
      <c r="E12" s="205" t="s">
        <v>133</v>
      </c>
      <c r="F12" s="205" t="s">
        <v>133</v>
      </c>
      <c r="G12" s="205" t="s">
        <v>133</v>
      </c>
      <c r="H12" s="205" t="s">
        <v>133</v>
      </c>
      <c r="I12" s="205" t="s">
        <v>133</v>
      </c>
      <c r="J12" s="206" t="s">
        <v>133</v>
      </c>
    </row>
    <row r="13" spans="1:15" ht="13.5" thickBot="1">
      <c r="A13" s="107"/>
      <c r="B13" s="107"/>
      <c r="C13" s="207" t="s">
        <v>134</v>
      </c>
      <c r="D13" s="207" t="s">
        <v>135</v>
      </c>
      <c r="E13" s="207" t="s">
        <v>134</v>
      </c>
      <c r="F13" s="207" t="s">
        <v>135</v>
      </c>
      <c r="G13" s="207" t="s">
        <v>136</v>
      </c>
      <c r="H13" s="207" t="s">
        <v>137</v>
      </c>
      <c r="I13" s="207" t="s">
        <v>138</v>
      </c>
      <c r="J13" s="172" t="s">
        <v>139</v>
      </c>
    </row>
    <row r="14" spans="1:15" ht="13.5" thickTop="1">
      <c r="A14" s="6">
        <v>1</v>
      </c>
      <c r="B14" s="6" t="s">
        <v>331</v>
      </c>
      <c r="C14" s="211"/>
      <c r="D14" s="211"/>
      <c r="E14" s="211"/>
      <c r="F14" s="18"/>
      <c r="G14" s="18"/>
      <c r="H14" s="18"/>
      <c r="I14" s="18"/>
      <c r="J14" s="18"/>
    </row>
    <row r="15" spans="1:15">
      <c r="A15" s="96">
        <v>2</v>
      </c>
      <c r="B15" s="96" t="s">
        <v>330</v>
      </c>
      <c r="C15" s="544"/>
      <c r="D15" s="544"/>
      <c r="E15" s="544"/>
      <c r="F15" s="545"/>
      <c r="G15" s="545"/>
      <c r="H15" s="545"/>
      <c r="I15" s="21"/>
      <c r="J15" s="21"/>
    </row>
    <row r="16" spans="1:15">
      <c r="A16" s="96">
        <v>3</v>
      </c>
      <c r="B16" s="96" t="s">
        <v>401</v>
      </c>
      <c r="C16" s="546">
        <v>1875</v>
      </c>
      <c r="D16" s="546">
        <v>1875</v>
      </c>
      <c r="E16" s="544"/>
      <c r="F16" s="544"/>
      <c r="G16" s="545"/>
      <c r="H16" s="545"/>
      <c r="I16" s="565">
        <f>C16+E16+G16</f>
        <v>1875</v>
      </c>
      <c r="J16" s="521">
        <f>D16+F16+H16</f>
        <v>1875</v>
      </c>
      <c r="K16" s="555">
        <f>+L16-I16</f>
        <v>0</v>
      </c>
      <c r="L16">
        <v>1875</v>
      </c>
      <c r="O16" s="554"/>
    </row>
    <row r="17" spans="1:12">
      <c r="A17" s="96">
        <v>4</v>
      </c>
      <c r="B17" s="96" t="s">
        <v>334</v>
      </c>
      <c r="C17" s="546">
        <f>1572-E17-G17</f>
        <v>1452</v>
      </c>
      <c r="D17" s="546">
        <v>1669</v>
      </c>
      <c r="E17" s="544">
        <f>50+19</f>
        <v>69</v>
      </c>
      <c r="F17" s="544">
        <v>54</v>
      </c>
      <c r="G17" s="566">
        <v>51</v>
      </c>
      <c r="H17" s="566">
        <v>35</v>
      </c>
      <c r="I17" s="521">
        <f t="shared" ref="I17:J23" si="0">C17+E17+G17</f>
        <v>1572</v>
      </c>
      <c r="J17" s="521">
        <f t="shared" si="0"/>
        <v>1758</v>
      </c>
      <c r="K17" s="555">
        <f t="shared" ref="K17:K23" si="1">+L17-I17</f>
        <v>0</v>
      </c>
      <c r="L17" s="555">
        <v>1572</v>
      </c>
    </row>
    <row r="18" spans="1:12">
      <c r="A18" s="96">
        <v>5</v>
      </c>
      <c r="B18" s="96" t="s">
        <v>335</v>
      </c>
      <c r="C18" s="546">
        <f>753-E18</f>
        <v>721</v>
      </c>
      <c r="D18" s="546">
        <v>1303</v>
      </c>
      <c r="E18" s="544">
        <v>32</v>
      </c>
      <c r="F18" s="544">
        <v>33</v>
      </c>
      <c r="G18" s="566">
        <v>1</v>
      </c>
      <c r="H18" s="566"/>
      <c r="I18" s="521">
        <f>C18+E18+G18</f>
        <v>754</v>
      </c>
      <c r="J18" s="521">
        <f t="shared" si="0"/>
        <v>1336</v>
      </c>
      <c r="K18" s="555">
        <f>+L18-I18</f>
        <v>0</v>
      </c>
      <c r="L18">
        <v>754</v>
      </c>
    </row>
    <row r="19" spans="1:12">
      <c r="A19" s="96">
        <v>6</v>
      </c>
      <c r="B19" s="96" t="s">
        <v>336</v>
      </c>
      <c r="C19" s="546">
        <f>10018-E19-G19</f>
        <v>8082</v>
      </c>
      <c r="D19" s="546">
        <f>10761-D20-F19-H19-D21-F21</f>
        <v>8193</v>
      </c>
      <c r="E19" s="544">
        <v>1618</v>
      </c>
      <c r="F19" s="544">
        <v>2005</v>
      </c>
      <c r="G19" s="566">
        <v>318</v>
      </c>
      <c r="H19" s="566">
        <v>362</v>
      </c>
      <c r="I19" s="521">
        <f t="shared" si="0"/>
        <v>10018</v>
      </c>
      <c r="J19" s="521">
        <f t="shared" si="0"/>
        <v>10560</v>
      </c>
      <c r="K19" s="555">
        <f t="shared" si="1"/>
        <v>125</v>
      </c>
      <c r="L19">
        <v>10143</v>
      </c>
    </row>
    <row r="20" spans="1:12">
      <c r="A20" s="96">
        <v>7</v>
      </c>
      <c r="B20" s="96" t="s">
        <v>402</v>
      </c>
      <c r="C20" s="546">
        <f>105-G20</f>
        <v>100</v>
      </c>
      <c r="D20" s="546">
        <v>178</v>
      </c>
      <c r="E20" s="544"/>
      <c r="F20" s="544">
        <v>0</v>
      </c>
      <c r="G20" s="545">
        <v>5</v>
      </c>
      <c r="H20" s="545"/>
      <c r="I20" s="521">
        <f t="shared" si="0"/>
        <v>105</v>
      </c>
      <c r="J20" s="521">
        <f t="shared" si="0"/>
        <v>178</v>
      </c>
      <c r="K20" s="555">
        <f t="shared" si="1"/>
        <v>-105</v>
      </c>
    </row>
    <row r="21" spans="1:12">
      <c r="A21" s="96">
        <f>SUM(A20)+1</f>
        <v>8</v>
      </c>
      <c r="B21" s="96" t="s">
        <v>399</v>
      </c>
      <c r="C21" s="546">
        <f>17-2</f>
        <v>15</v>
      </c>
      <c r="D21" s="546">
        <v>20</v>
      </c>
      <c r="E21" s="544"/>
      <c r="F21" s="544">
        <v>3</v>
      </c>
      <c r="G21" s="545">
        <v>2</v>
      </c>
      <c r="H21" s="545"/>
      <c r="I21" s="521">
        <f t="shared" si="0"/>
        <v>17</v>
      </c>
      <c r="J21" s="521">
        <f t="shared" si="0"/>
        <v>23</v>
      </c>
      <c r="K21" s="555">
        <f t="shared" si="1"/>
        <v>-17</v>
      </c>
    </row>
    <row r="22" spans="1:12">
      <c r="A22" s="96">
        <v>9</v>
      </c>
      <c r="B22" s="96" t="s">
        <v>403</v>
      </c>
      <c r="C22" s="546">
        <v>7168</v>
      </c>
      <c r="D22" s="546">
        <v>5465</v>
      </c>
      <c r="E22" s="544"/>
      <c r="F22" s="544">
        <v>0</v>
      </c>
      <c r="G22" s="545"/>
      <c r="H22" s="545"/>
      <c r="I22" s="521">
        <f t="shared" si="0"/>
        <v>7168</v>
      </c>
      <c r="J22" s="521">
        <f t="shared" si="0"/>
        <v>5465</v>
      </c>
      <c r="K22" s="555">
        <f t="shared" si="1"/>
        <v>0</v>
      </c>
      <c r="L22">
        <v>7168</v>
      </c>
    </row>
    <row r="23" spans="1:12">
      <c r="A23" s="96">
        <v>10</v>
      </c>
      <c r="B23" s="96" t="s">
        <v>400</v>
      </c>
      <c r="C23" s="544">
        <v>2</v>
      </c>
      <c r="D23" s="544"/>
      <c r="E23" s="544">
        <v>1</v>
      </c>
      <c r="F23" s="544"/>
      <c r="G23" s="545"/>
      <c r="H23" s="545"/>
      <c r="I23" s="521">
        <f t="shared" si="0"/>
        <v>3</v>
      </c>
      <c r="J23" s="521">
        <f t="shared" si="0"/>
        <v>0</v>
      </c>
      <c r="K23" s="555">
        <f t="shared" si="1"/>
        <v>-3</v>
      </c>
    </row>
    <row r="24" spans="1:12">
      <c r="A24" s="241">
        <f>A23+1</f>
        <v>11</v>
      </c>
      <c r="B24" s="241" t="s">
        <v>167</v>
      </c>
      <c r="C24" s="547">
        <f>SUM(C16:C23)</f>
        <v>19415</v>
      </c>
      <c r="D24" s="547">
        <f>SUM(D16:D23)</f>
        <v>18703</v>
      </c>
      <c r="E24" s="548">
        <f t="shared" ref="E24:J24" si="2">SUM(E16:E23)</f>
        <v>1720</v>
      </c>
      <c r="F24" s="519">
        <f t="shared" si="2"/>
        <v>2095</v>
      </c>
      <c r="G24" s="519">
        <f t="shared" si="2"/>
        <v>377</v>
      </c>
      <c r="H24" s="519">
        <f t="shared" si="2"/>
        <v>397</v>
      </c>
      <c r="I24" s="522">
        <f t="shared" si="2"/>
        <v>21512</v>
      </c>
      <c r="J24" s="522">
        <f t="shared" si="2"/>
        <v>21195</v>
      </c>
      <c r="K24" s="555"/>
      <c r="L24" s="555">
        <f>SUM(L16:L22)-I24</f>
        <v>0</v>
      </c>
    </row>
    <row r="25" spans="1:12">
      <c r="A25" s="242">
        <f t="shared" ref="A25:A59" si="3">A24+1</f>
        <v>12</v>
      </c>
      <c r="B25" s="242" t="s">
        <v>168</v>
      </c>
      <c r="C25" s="544"/>
      <c r="D25" s="544"/>
      <c r="E25" s="544"/>
      <c r="F25" s="545"/>
      <c r="G25" s="545"/>
      <c r="H25" s="545"/>
      <c r="I25" s="21"/>
      <c r="J25" s="21"/>
    </row>
    <row r="26" spans="1:12">
      <c r="A26" s="242">
        <f t="shared" si="3"/>
        <v>13</v>
      </c>
      <c r="B26" s="242" t="s">
        <v>338</v>
      </c>
      <c r="C26" s="537"/>
      <c r="D26" s="537"/>
      <c r="E26" s="212"/>
      <c r="F26" s="21"/>
      <c r="G26" s="21"/>
      <c r="H26" s="21"/>
      <c r="I26" s="21">
        <f>C26+E26+G26</f>
        <v>0</v>
      </c>
      <c r="J26" s="21"/>
    </row>
    <row r="27" spans="1:12">
      <c r="A27" s="242">
        <v>13</v>
      </c>
      <c r="B27" s="242" t="s">
        <v>339</v>
      </c>
      <c r="C27" s="212"/>
      <c r="D27" s="212"/>
      <c r="E27" s="212"/>
      <c r="F27" s="21"/>
      <c r="G27" s="21">
        <v>4</v>
      </c>
      <c r="H27" s="21">
        <v>8</v>
      </c>
      <c r="I27" s="21">
        <f>C27+E27+G27</f>
        <v>4</v>
      </c>
      <c r="J27" s="21">
        <f>D27+F27+H27</f>
        <v>8</v>
      </c>
      <c r="K27" s="555">
        <f>+I16+I17+I18+I19+I20+I21+I23</f>
        <v>14344</v>
      </c>
    </row>
    <row r="28" spans="1:12">
      <c r="A28" s="242">
        <f>A27+1</f>
        <v>14</v>
      </c>
      <c r="B28" s="242" t="s">
        <v>337</v>
      </c>
      <c r="C28" s="212"/>
      <c r="D28" s="212"/>
      <c r="E28" s="212"/>
      <c r="F28" s="21"/>
      <c r="G28" s="21"/>
      <c r="H28" s="21"/>
      <c r="I28" s="21">
        <f>C28+E28+G28</f>
        <v>0</v>
      </c>
      <c r="J28" s="21">
        <f>D28+F28+H28</f>
        <v>0</v>
      </c>
      <c r="K28">
        <f>+I29</f>
        <v>4</v>
      </c>
    </row>
    <row r="29" spans="1:12">
      <c r="A29" s="241">
        <f t="shared" si="3"/>
        <v>15</v>
      </c>
      <c r="B29" s="241" t="s">
        <v>169</v>
      </c>
      <c r="C29" s="213">
        <f t="shared" ref="C29:H29" si="4">SUM(C26:C28)</f>
        <v>0</v>
      </c>
      <c r="D29" s="213">
        <f t="shared" si="4"/>
        <v>0</v>
      </c>
      <c r="E29" s="213">
        <f t="shared" si="4"/>
        <v>0</v>
      </c>
      <c r="F29" s="10">
        <f t="shared" si="4"/>
        <v>0</v>
      </c>
      <c r="G29" s="10">
        <f t="shared" si="4"/>
        <v>4</v>
      </c>
      <c r="H29" s="10">
        <f t="shared" si="4"/>
        <v>8</v>
      </c>
      <c r="I29" s="10">
        <f>C29+E29+G29</f>
        <v>4</v>
      </c>
      <c r="J29" s="10">
        <f t="shared" ref="J29:J63" si="5">D29+F29+H29</f>
        <v>8</v>
      </c>
      <c r="K29" s="555">
        <f>SUM(K27:K28)</f>
        <v>14348</v>
      </c>
    </row>
    <row r="30" spans="1:12">
      <c r="A30" s="242">
        <f t="shared" si="3"/>
        <v>16</v>
      </c>
      <c r="B30" s="242" t="s">
        <v>170</v>
      </c>
      <c r="C30" s="212"/>
      <c r="D30" s="212"/>
      <c r="E30" s="212"/>
      <c r="F30" s="21"/>
      <c r="G30" s="21"/>
      <c r="H30" s="21"/>
      <c r="I30" s="21">
        <f>C30+E30+G30</f>
        <v>0</v>
      </c>
      <c r="J30" s="21">
        <f t="shared" si="5"/>
        <v>0</v>
      </c>
    </row>
    <row r="31" spans="1:12">
      <c r="A31" s="241">
        <f t="shared" si="3"/>
        <v>17</v>
      </c>
      <c r="B31" s="241" t="s">
        <v>171</v>
      </c>
      <c r="C31" s="213"/>
      <c r="D31" s="213"/>
      <c r="E31" s="213"/>
      <c r="F31" s="10"/>
      <c r="G31" s="10"/>
      <c r="H31" s="10"/>
      <c r="I31" s="10">
        <f>SUM(I30)</f>
        <v>0</v>
      </c>
      <c r="J31" s="10">
        <f>SUM(J30)</f>
        <v>0</v>
      </c>
    </row>
    <row r="32" spans="1:12">
      <c r="A32" s="241">
        <f t="shared" si="3"/>
        <v>18</v>
      </c>
      <c r="B32" s="241" t="s">
        <v>467</v>
      </c>
      <c r="C32" s="161">
        <v>36</v>
      </c>
      <c r="D32" s="161">
        <v>29</v>
      </c>
      <c r="E32" s="161"/>
      <c r="F32" s="10"/>
      <c r="G32" s="10"/>
      <c r="H32" s="10"/>
      <c r="I32" s="10">
        <f>C32+E32+G32</f>
        <v>36</v>
      </c>
      <c r="J32" s="10">
        <f t="shared" si="5"/>
        <v>29</v>
      </c>
    </row>
    <row r="33" spans="1:10">
      <c r="A33" s="241">
        <f t="shared" si="3"/>
        <v>19</v>
      </c>
      <c r="B33" s="241" t="s">
        <v>149</v>
      </c>
      <c r="C33" s="213">
        <f t="shared" ref="C33:H33" si="6">SUM(C32)</f>
        <v>36</v>
      </c>
      <c r="D33" s="213">
        <f t="shared" si="6"/>
        <v>29</v>
      </c>
      <c r="E33" s="213">
        <f t="shared" si="6"/>
        <v>0</v>
      </c>
      <c r="F33" s="213">
        <f t="shared" si="6"/>
        <v>0</v>
      </c>
      <c r="G33" s="213">
        <f t="shared" si="6"/>
        <v>0</v>
      </c>
      <c r="H33" s="213">
        <f t="shared" si="6"/>
        <v>0</v>
      </c>
      <c r="I33" s="10">
        <f>C33+E33+G33</f>
        <v>36</v>
      </c>
      <c r="J33" s="10">
        <f t="shared" si="5"/>
        <v>29</v>
      </c>
    </row>
    <row r="34" spans="1:10">
      <c r="A34" s="241">
        <f t="shared" si="3"/>
        <v>20</v>
      </c>
      <c r="B34" s="241" t="s">
        <v>172</v>
      </c>
      <c r="C34" s="161"/>
      <c r="D34" s="161"/>
      <c r="E34" s="161"/>
      <c r="F34" s="10"/>
      <c r="G34" s="10"/>
      <c r="H34" s="10"/>
      <c r="I34" s="10">
        <f>C34+E34+G34</f>
        <v>0</v>
      </c>
      <c r="J34" s="10">
        <f t="shared" si="5"/>
        <v>0</v>
      </c>
    </row>
    <row r="35" spans="1:10">
      <c r="A35" s="241">
        <f t="shared" si="3"/>
        <v>21</v>
      </c>
      <c r="B35" s="241" t="s">
        <v>152</v>
      </c>
      <c r="C35" s="213">
        <f>+C34</f>
        <v>0</v>
      </c>
      <c r="D35" s="213">
        <f>+D34</f>
        <v>0</v>
      </c>
      <c r="E35" s="213"/>
      <c r="F35" s="10"/>
      <c r="G35" s="10"/>
      <c r="H35" s="10"/>
      <c r="I35" s="10">
        <f>I34</f>
        <v>0</v>
      </c>
      <c r="J35" s="10">
        <f>J34</f>
        <v>0</v>
      </c>
    </row>
    <row r="36" spans="1:10">
      <c r="A36" s="242">
        <f t="shared" si="3"/>
        <v>22</v>
      </c>
      <c r="B36" s="242" t="s">
        <v>173</v>
      </c>
      <c r="C36" s="214">
        <f t="shared" ref="C36:J36" si="7">C35+C33+C31+C29+C24</f>
        <v>19451</v>
      </c>
      <c r="D36" s="214">
        <f t="shared" si="7"/>
        <v>18732</v>
      </c>
      <c r="E36" s="602">
        <f t="shared" si="7"/>
        <v>1720</v>
      </c>
      <c r="F36" s="602">
        <f t="shared" si="7"/>
        <v>2095</v>
      </c>
      <c r="G36" s="602">
        <f t="shared" si="7"/>
        <v>381</v>
      </c>
      <c r="H36" s="214">
        <f t="shared" si="7"/>
        <v>405</v>
      </c>
      <c r="I36" s="601">
        <f>I35+I33+I31+I29+I24</f>
        <v>21552</v>
      </c>
      <c r="J36" s="214">
        <f t="shared" si="7"/>
        <v>21232</v>
      </c>
    </row>
    <row r="37" spans="1:10">
      <c r="A37" s="243"/>
      <c r="B37" s="243"/>
      <c r="C37" s="102"/>
      <c r="D37" s="102"/>
      <c r="E37" s="102"/>
      <c r="F37" s="103"/>
      <c r="G37" s="103"/>
      <c r="H37" s="103"/>
      <c r="I37" s="103">
        <f>C37+E37+G37</f>
        <v>0</v>
      </c>
      <c r="J37" s="103">
        <f t="shared" si="5"/>
        <v>0</v>
      </c>
    </row>
    <row r="38" spans="1:10">
      <c r="A38" s="244">
        <f>A36+1</f>
        <v>23</v>
      </c>
      <c r="B38" s="244" t="s">
        <v>254</v>
      </c>
      <c r="C38" s="218"/>
      <c r="D38" s="218"/>
      <c r="E38" s="218"/>
      <c r="F38" s="31"/>
      <c r="G38" s="31"/>
      <c r="H38" s="31"/>
      <c r="I38" s="31">
        <f>C38+E38+G38</f>
        <v>0</v>
      </c>
      <c r="J38" s="31">
        <f t="shared" si="5"/>
        <v>0</v>
      </c>
    </row>
    <row r="39" spans="1:10">
      <c r="A39" s="242">
        <f t="shared" si="3"/>
        <v>24</v>
      </c>
      <c r="B39" s="242" t="s">
        <v>174</v>
      </c>
      <c r="C39" s="212"/>
      <c r="D39" s="212"/>
      <c r="E39" s="212"/>
      <c r="F39" s="21"/>
      <c r="G39" s="21"/>
      <c r="H39" s="21"/>
      <c r="I39" s="21">
        <f>C39+E39+G39</f>
        <v>0</v>
      </c>
      <c r="J39" s="21">
        <f t="shared" si="5"/>
        <v>0</v>
      </c>
    </row>
    <row r="40" spans="1:10">
      <c r="A40" s="242">
        <f t="shared" si="3"/>
        <v>25</v>
      </c>
      <c r="B40" s="242" t="s">
        <v>141</v>
      </c>
      <c r="C40" s="212">
        <f>'4-Е'!E19-E40</f>
        <v>1892</v>
      </c>
      <c r="D40" s="212">
        <f>'4-Е'!D19-F40</f>
        <v>1277</v>
      </c>
      <c r="E40" s="212">
        <f>SUM('4-Е'!E13)</f>
        <v>172</v>
      </c>
      <c r="F40" s="21">
        <f>'4-Е'!D13</f>
        <v>161</v>
      </c>
      <c r="G40" s="21"/>
      <c r="H40" s="21"/>
      <c r="I40" s="21">
        <f>C40+E40+G40</f>
        <v>2064</v>
      </c>
      <c r="J40" s="21">
        <f t="shared" si="5"/>
        <v>1438</v>
      </c>
    </row>
    <row r="41" spans="1:10">
      <c r="A41" s="242">
        <f>A40+1</f>
        <v>26</v>
      </c>
      <c r="B41" s="242" t="s">
        <v>340</v>
      </c>
      <c r="C41" s="212"/>
      <c r="D41" s="212"/>
      <c r="E41" s="212"/>
      <c r="F41" s="21"/>
      <c r="G41" s="21"/>
      <c r="H41" s="21"/>
      <c r="I41" s="21">
        <f>C41+E41+G41</f>
        <v>0</v>
      </c>
      <c r="J41" s="21">
        <f t="shared" si="5"/>
        <v>0</v>
      </c>
    </row>
    <row r="42" spans="1:10">
      <c r="A42" s="241">
        <f>A41+1</f>
        <v>27</v>
      </c>
      <c r="B42" s="241" t="s">
        <v>167</v>
      </c>
      <c r="C42" s="213">
        <f t="shared" ref="C42:J42" si="8">SUM(C38:C41)</f>
        <v>1892</v>
      </c>
      <c r="D42" s="213">
        <f t="shared" si="8"/>
        <v>1277</v>
      </c>
      <c r="E42" s="213">
        <f t="shared" si="8"/>
        <v>172</v>
      </c>
      <c r="F42" s="10">
        <f t="shared" si="8"/>
        <v>161</v>
      </c>
      <c r="G42" s="10">
        <f t="shared" si="8"/>
        <v>0</v>
      </c>
      <c r="H42" s="10">
        <f t="shared" si="8"/>
        <v>0</v>
      </c>
      <c r="I42" s="10">
        <f t="shared" si="8"/>
        <v>2064</v>
      </c>
      <c r="J42" s="10">
        <f t="shared" si="8"/>
        <v>1438</v>
      </c>
    </row>
    <row r="43" spans="1:10">
      <c r="A43" s="242">
        <f t="shared" si="3"/>
        <v>28</v>
      </c>
      <c r="B43" s="242" t="s">
        <v>175</v>
      </c>
      <c r="C43" s="212"/>
      <c r="D43" s="212"/>
      <c r="E43" s="212"/>
      <c r="F43" s="21"/>
      <c r="G43" s="21"/>
      <c r="H43" s="21"/>
      <c r="I43" s="21">
        <f t="shared" ref="I43:I49" si="9">C43+E43+G43</f>
        <v>0</v>
      </c>
      <c r="J43" s="21">
        <f t="shared" si="5"/>
        <v>0</v>
      </c>
    </row>
    <row r="44" spans="1:10">
      <c r="A44" s="242">
        <f t="shared" si="3"/>
        <v>29</v>
      </c>
      <c r="B44" s="242" t="s">
        <v>341</v>
      </c>
      <c r="C44" s="212"/>
      <c r="D44" s="212"/>
      <c r="E44" s="212"/>
      <c r="F44" s="21"/>
      <c r="G44" s="21"/>
      <c r="H44" s="21"/>
      <c r="I44" s="21">
        <f t="shared" si="9"/>
        <v>0</v>
      </c>
      <c r="J44" s="21">
        <f t="shared" si="5"/>
        <v>0</v>
      </c>
    </row>
    <row r="45" spans="1:10">
      <c r="A45" s="242">
        <f t="shared" si="3"/>
        <v>30</v>
      </c>
      <c r="B45" s="242" t="s">
        <v>176</v>
      </c>
      <c r="C45" s="212">
        <f>4975-G45-C46</f>
        <v>4091</v>
      </c>
      <c r="D45" s="212">
        <f>5199-H45-D46</f>
        <v>4815</v>
      </c>
      <c r="E45" s="212"/>
      <c r="F45" s="21"/>
      <c r="G45" s="21">
        <v>147</v>
      </c>
      <c r="H45" s="21">
        <v>123</v>
      </c>
      <c r="I45" s="21">
        <f t="shared" si="9"/>
        <v>4238</v>
      </c>
      <c r="J45" s="21">
        <f t="shared" si="5"/>
        <v>4938</v>
      </c>
    </row>
    <row r="46" spans="1:10">
      <c r="A46" s="96">
        <f t="shared" si="3"/>
        <v>31</v>
      </c>
      <c r="B46" s="96" t="s">
        <v>343</v>
      </c>
      <c r="C46" s="212">
        <v>737</v>
      </c>
      <c r="D46" s="212">
        <v>261</v>
      </c>
      <c r="E46" s="212"/>
      <c r="F46" s="21"/>
      <c r="G46" s="21"/>
      <c r="H46" s="21"/>
      <c r="I46" s="21">
        <f t="shared" si="9"/>
        <v>737</v>
      </c>
      <c r="J46" s="21">
        <f t="shared" si="5"/>
        <v>261</v>
      </c>
    </row>
    <row r="47" spans="1:10">
      <c r="A47" s="96">
        <f t="shared" si="3"/>
        <v>32</v>
      </c>
      <c r="B47" s="96" t="s">
        <v>342</v>
      </c>
      <c r="C47" s="212"/>
      <c r="D47" s="212"/>
      <c r="E47" s="212"/>
      <c r="F47" s="21"/>
      <c r="G47" s="21"/>
      <c r="H47" s="21"/>
      <c r="I47" s="21">
        <f t="shared" si="9"/>
        <v>0</v>
      </c>
      <c r="J47" s="21">
        <f t="shared" si="5"/>
        <v>0</v>
      </c>
    </row>
    <row r="48" spans="1:10">
      <c r="A48" s="96">
        <f t="shared" si="3"/>
        <v>33</v>
      </c>
      <c r="B48" s="96" t="s">
        <v>177</v>
      </c>
      <c r="C48" s="212">
        <v>246</v>
      </c>
      <c r="D48" s="212">
        <v>246</v>
      </c>
      <c r="E48" s="212"/>
      <c r="F48" s="21"/>
      <c r="G48" s="21">
        <f>4854-C48</f>
        <v>4608</v>
      </c>
      <c r="H48" s="21">
        <f>5284-D48</f>
        <v>5038</v>
      </c>
      <c r="I48" s="21">
        <f t="shared" si="9"/>
        <v>4854</v>
      </c>
      <c r="J48" s="21">
        <f t="shared" si="5"/>
        <v>5284</v>
      </c>
    </row>
    <row r="49" spans="1:14">
      <c r="A49" s="96">
        <f t="shared" si="3"/>
        <v>34</v>
      </c>
      <c r="B49" s="96"/>
      <c r="D49" s="212"/>
      <c r="E49" s="212"/>
      <c r="F49" s="21"/>
      <c r="G49" s="21"/>
      <c r="H49" s="21"/>
      <c r="I49" s="21">
        <f t="shared" si="9"/>
        <v>0</v>
      </c>
      <c r="J49" s="21">
        <f t="shared" si="5"/>
        <v>0</v>
      </c>
    </row>
    <row r="50" spans="1:14">
      <c r="A50" s="100">
        <f t="shared" si="3"/>
        <v>35</v>
      </c>
      <c r="B50" s="100" t="s">
        <v>169</v>
      </c>
      <c r="C50" s="213">
        <f>SUM(C44:C49)</f>
        <v>5074</v>
      </c>
      <c r="D50" s="213">
        <f t="shared" ref="D50:J50" si="10">SUM(D44:D49)</f>
        <v>5322</v>
      </c>
      <c r="E50" s="213">
        <f t="shared" si="10"/>
        <v>0</v>
      </c>
      <c r="F50" s="10">
        <f t="shared" si="10"/>
        <v>0</v>
      </c>
      <c r="G50" s="10">
        <f t="shared" si="10"/>
        <v>4755</v>
      </c>
      <c r="H50" s="10">
        <f t="shared" si="10"/>
        <v>5161</v>
      </c>
      <c r="I50" s="10">
        <f t="shared" si="10"/>
        <v>9829</v>
      </c>
      <c r="J50" s="10">
        <f t="shared" si="10"/>
        <v>10483</v>
      </c>
    </row>
    <row r="51" spans="1:14">
      <c r="A51" s="96">
        <f t="shared" si="3"/>
        <v>36</v>
      </c>
      <c r="B51" s="96" t="s">
        <v>178</v>
      </c>
      <c r="C51" s="212"/>
      <c r="D51" s="212"/>
      <c r="E51" s="212"/>
      <c r="F51" s="21"/>
      <c r="G51" s="21"/>
      <c r="H51" s="21"/>
      <c r="I51" s="21">
        <f>C51+E51+G51</f>
        <v>0</v>
      </c>
      <c r="J51" s="21">
        <f t="shared" si="5"/>
        <v>0</v>
      </c>
    </row>
    <row r="52" spans="1:14">
      <c r="A52" s="100">
        <f t="shared" si="3"/>
        <v>37</v>
      </c>
      <c r="B52" s="100" t="s">
        <v>171</v>
      </c>
      <c r="C52" s="213"/>
      <c r="D52" s="213"/>
      <c r="E52" s="213"/>
      <c r="F52" s="10"/>
      <c r="G52" s="10"/>
      <c r="H52" s="10"/>
      <c r="I52" s="10">
        <f>C52+E52+G52</f>
        <v>0</v>
      </c>
      <c r="J52" s="10">
        <f t="shared" si="5"/>
        <v>0</v>
      </c>
    </row>
    <row r="53" spans="1:14">
      <c r="A53" s="96">
        <f t="shared" si="3"/>
        <v>38</v>
      </c>
      <c r="B53" s="96" t="s">
        <v>179</v>
      </c>
      <c r="C53" s="212"/>
      <c r="D53" s="212"/>
      <c r="E53" s="212"/>
      <c r="F53" s="21"/>
      <c r="G53" s="21"/>
      <c r="H53" s="21"/>
      <c r="I53" s="21">
        <f>C53+E53+G53</f>
        <v>0</v>
      </c>
      <c r="J53" s="21">
        <f t="shared" si="5"/>
        <v>0</v>
      </c>
    </row>
    <row r="54" spans="1:14">
      <c r="A54" s="96">
        <f t="shared" si="3"/>
        <v>39</v>
      </c>
      <c r="B54" s="96" t="s">
        <v>180</v>
      </c>
      <c r="C54" s="212">
        <v>4</v>
      </c>
      <c r="D54" s="212">
        <v>12</v>
      </c>
      <c r="E54" s="212"/>
      <c r="F54" s="21"/>
      <c r="G54" s="21"/>
      <c r="H54" s="21"/>
      <c r="I54" s="21">
        <f>C54+E54+G54</f>
        <v>4</v>
      </c>
      <c r="J54" s="21">
        <f t="shared" si="5"/>
        <v>12</v>
      </c>
    </row>
    <row r="55" spans="1:14">
      <c r="A55" s="96">
        <f t="shared" si="3"/>
        <v>40</v>
      </c>
      <c r="B55" s="96" t="s">
        <v>181</v>
      </c>
      <c r="C55" s="212">
        <v>126</v>
      </c>
      <c r="D55" s="212">
        <v>291</v>
      </c>
      <c r="E55" s="212"/>
      <c r="F55" s="21"/>
      <c r="G55" s="21"/>
      <c r="H55" s="21"/>
      <c r="I55" s="21">
        <f>C55+E55+G55</f>
        <v>126</v>
      </c>
      <c r="J55" s="21">
        <f t="shared" si="5"/>
        <v>291</v>
      </c>
    </row>
    <row r="56" spans="1:14">
      <c r="A56" s="100">
        <f t="shared" si="3"/>
        <v>41</v>
      </c>
      <c r="B56" s="100" t="s">
        <v>149</v>
      </c>
      <c r="C56" s="213">
        <f>SUM(C54:C55)</f>
        <v>130</v>
      </c>
      <c r="D56" s="213">
        <f t="shared" ref="D56:J56" si="11">SUM(D54:D55)</f>
        <v>303</v>
      </c>
      <c r="E56" s="213">
        <f t="shared" si="11"/>
        <v>0</v>
      </c>
      <c r="F56" s="10">
        <f t="shared" si="11"/>
        <v>0</v>
      </c>
      <c r="G56" s="10">
        <f t="shared" si="11"/>
        <v>0</v>
      </c>
      <c r="H56" s="10">
        <f t="shared" si="11"/>
        <v>0</v>
      </c>
      <c r="I56" s="10">
        <f t="shared" si="11"/>
        <v>130</v>
      </c>
      <c r="J56" s="10">
        <f t="shared" si="11"/>
        <v>303</v>
      </c>
    </row>
    <row r="57" spans="1:14">
      <c r="A57" s="96">
        <f t="shared" si="3"/>
        <v>42</v>
      </c>
      <c r="B57" s="96" t="s">
        <v>172</v>
      </c>
      <c r="C57" s="212">
        <v>15</v>
      </c>
      <c r="D57" s="212">
        <v>3</v>
      </c>
      <c r="E57" s="212"/>
      <c r="F57" s="21"/>
      <c r="G57" s="21"/>
      <c r="H57" s="21"/>
      <c r="I57" s="21">
        <f>C57+E57+G57</f>
        <v>15</v>
      </c>
      <c r="J57" s="21">
        <f t="shared" si="5"/>
        <v>3</v>
      </c>
    </row>
    <row r="58" spans="1:14">
      <c r="A58" s="100">
        <f t="shared" si="3"/>
        <v>43</v>
      </c>
      <c r="B58" s="100" t="s">
        <v>152</v>
      </c>
      <c r="C58" s="213">
        <f>SUM(C57)</f>
        <v>15</v>
      </c>
      <c r="D58" s="213">
        <f>SUM(D57)</f>
        <v>3</v>
      </c>
      <c r="E58" s="213"/>
      <c r="F58" s="10"/>
      <c r="G58" s="10"/>
      <c r="H58" s="10"/>
      <c r="I58" s="10">
        <f>C58+E58+G58</f>
        <v>15</v>
      </c>
      <c r="J58" s="10">
        <f t="shared" si="5"/>
        <v>3</v>
      </c>
    </row>
    <row r="59" spans="1:14">
      <c r="A59" s="100">
        <f t="shared" si="3"/>
        <v>44</v>
      </c>
      <c r="B59" s="100" t="s">
        <v>182</v>
      </c>
      <c r="C59" s="184">
        <f t="shared" ref="C59:J59" si="12">C58+C56+C52+C50+C42</f>
        <v>7111</v>
      </c>
      <c r="D59" s="184">
        <f t="shared" si="12"/>
        <v>6905</v>
      </c>
      <c r="E59" s="184">
        <f t="shared" si="12"/>
        <v>172</v>
      </c>
      <c r="F59" s="184">
        <f t="shared" si="12"/>
        <v>161</v>
      </c>
      <c r="G59" s="184">
        <f t="shared" si="12"/>
        <v>4755</v>
      </c>
      <c r="H59" s="184">
        <f t="shared" si="12"/>
        <v>5161</v>
      </c>
      <c r="I59" s="184">
        <f t="shared" si="12"/>
        <v>12038</v>
      </c>
      <c r="J59" s="184">
        <f t="shared" si="12"/>
        <v>12227</v>
      </c>
    </row>
    <row r="60" spans="1:14">
      <c r="A60" s="101"/>
      <c r="B60" s="101"/>
      <c r="C60" s="102"/>
      <c r="D60" s="102"/>
      <c r="E60" s="102"/>
      <c r="F60" s="103"/>
      <c r="G60" s="103"/>
      <c r="H60" s="103"/>
      <c r="I60" s="103">
        <f>C60+E60+G60</f>
        <v>0</v>
      </c>
      <c r="J60" s="103">
        <f t="shared" si="5"/>
        <v>0</v>
      </c>
    </row>
    <row r="61" spans="1:14">
      <c r="A61" s="9">
        <f>A59+1</f>
        <v>45</v>
      </c>
      <c r="B61" s="9" t="s">
        <v>255</v>
      </c>
      <c r="C61" s="219">
        <f>C59+C36</f>
        <v>26562</v>
      </c>
      <c r="D61" s="219">
        <f t="shared" ref="D61:J61" si="13">D59+D36</f>
        <v>25637</v>
      </c>
      <c r="E61" s="219">
        <f t="shared" si="13"/>
        <v>1892</v>
      </c>
      <c r="F61" s="219">
        <f t="shared" si="13"/>
        <v>2256</v>
      </c>
      <c r="G61" s="219">
        <f t="shared" si="13"/>
        <v>5136</v>
      </c>
      <c r="H61" s="219">
        <f t="shared" si="13"/>
        <v>5566</v>
      </c>
      <c r="I61" s="219">
        <f t="shared" si="13"/>
        <v>33590</v>
      </c>
      <c r="J61" s="219">
        <f t="shared" si="13"/>
        <v>33459</v>
      </c>
      <c r="K61" s="557">
        <f>+L61-I61</f>
        <v>0</v>
      </c>
      <c r="L61">
        <v>33590</v>
      </c>
      <c r="M61">
        <v>33459</v>
      </c>
      <c r="N61">
        <f>+J61-M61</f>
        <v>0</v>
      </c>
    </row>
    <row r="62" spans="1:14">
      <c r="A62" s="101"/>
      <c r="B62" s="101"/>
      <c r="C62" s="104"/>
      <c r="D62" s="104"/>
      <c r="E62" s="104"/>
      <c r="F62" s="105"/>
      <c r="G62" s="105"/>
      <c r="H62" s="105"/>
      <c r="I62" s="105">
        <f>C62+E62+G62</f>
        <v>0</v>
      </c>
      <c r="J62" s="105">
        <f t="shared" si="5"/>
        <v>0</v>
      </c>
    </row>
    <row r="63" spans="1:14" ht="13.5" thickBot="1">
      <c r="A63" s="97">
        <f>A61+1</f>
        <v>46</v>
      </c>
      <c r="B63" s="97" t="s">
        <v>183</v>
      </c>
      <c r="C63" s="220"/>
      <c r="D63" s="220"/>
      <c r="E63" s="220"/>
      <c r="F63" s="99"/>
      <c r="G63" s="99"/>
      <c r="H63" s="99"/>
      <c r="I63" s="99">
        <f>C63+E63+G63</f>
        <v>0</v>
      </c>
      <c r="J63" s="99">
        <f t="shared" si="5"/>
        <v>0</v>
      </c>
    </row>
    <row r="64" spans="1:14" ht="13.5" thickTop="1">
      <c r="A64" s="88"/>
      <c r="B64" s="88"/>
      <c r="C64" s="216"/>
      <c r="D64" s="216"/>
      <c r="E64" s="216"/>
      <c r="F64" s="94"/>
      <c r="G64" s="94"/>
      <c r="H64" s="94"/>
      <c r="I64" s="94"/>
      <c r="J64" s="94"/>
    </row>
    <row r="65" spans="1:10">
      <c r="A65" s="88"/>
      <c r="B65" s="88"/>
      <c r="C65" s="216"/>
      <c r="D65" s="216"/>
      <c r="E65" s="216"/>
      <c r="F65" s="94"/>
      <c r="G65" s="94"/>
      <c r="H65" s="94"/>
      <c r="I65" s="94"/>
      <c r="J65" s="94"/>
    </row>
    <row r="67" spans="1:10" ht="27.75" customHeight="1" thickBot="1"/>
    <row r="68" spans="1:10" ht="13.5" thickTop="1">
      <c r="A68" s="95"/>
      <c r="B68" s="95"/>
      <c r="C68" s="609" t="s">
        <v>128</v>
      </c>
      <c r="D68" s="610"/>
      <c r="E68" s="609" t="s">
        <v>128</v>
      </c>
      <c r="F68" s="610"/>
      <c r="G68" s="609" t="s">
        <v>129</v>
      </c>
      <c r="H68" s="610"/>
      <c r="I68" s="609" t="s">
        <v>130</v>
      </c>
      <c r="J68" s="611"/>
    </row>
    <row r="69" spans="1:10">
      <c r="A69" s="106"/>
      <c r="B69" s="106" t="s">
        <v>71</v>
      </c>
      <c r="C69" s="606" t="s">
        <v>131</v>
      </c>
      <c r="D69" s="607"/>
      <c r="E69" s="606" t="s">
        <v>131</v>
      </c>
      <c r="F69" s="607"/>
      <c r="G69" s="606" t="s">
        <v>131</v>
      </c>
      <c r="H69" s="607"/>
      <c r="I69" s="606" t="s">
        <v>131</v>
      </c>
      <c r="J69" s="608"/>
    </row>
    <row r="70" spans="1:10">
      <c r="A70" s="204" t="s">
        <v>24</v>
      </c>
      <c r="B70" s="204" t="s">
        <v>132</v>
      </c>
      <c r="C70" s="166" t="s">
        <v>332</v>
      </c>
      <c r="D70" s="240"/>
      <c r="E70" s="166" t="s">
        <v>333</v>
      </c>
      <c r="F70" s="240"/>
      <c r="G70" s="205"/>
      <c r="H70" s="238"/>
      <c r="I70" s="205"/>
      <c r="J70" s="239"/>
    </row>
    <row r="71" spans="1:10">
      <c r="A71" s="204" t="s">
        <v>28</v>
      </c>
      <c r="B71" s="204"/>
      <c r="C71" s="205" t="s">
        <v>79</v>
      </c>
      <c r="D71" s="205" t="s">
        <v>78</v>
      </c>
      <c r="E71" s="205" t="s">
        <v>79</v>
      </c>
      <c r="F71" s="205" t="s">
        <v>78</v>
      </c>
      <c r="G71" s="205" t="s">
        <v>79</v>
      </c>
      <c r="H71" s="205" t="s">
        <v>78</v>
      </c>
      <c r="I71" s="205" t="s">
        <v>79</v>
      </c>
      <c r="J71" s="206" t="s">
        <v>78</v>
      </c>
    </row>
    <row r="72" spans="1:10" ht="13.5" thickBot="1">
      <c r="A72" s="107"/>
      <c r="B72" s="107"/>
      <c r="C72" s="205" t="s">
        <v>133</v>
      </c>
      <c r="D72" s="205" t="s">
        <v>133</v>
      </c>
      <c r="E72" s="205" t="s">
        <v>133</v>
      </c>
      <c r="F72" s="205" t="s">
        <v>133</v>
      </c>
      <c r="G72" s="205" t="s">
        <v>133</v>
      </c>
      <c r="H72" s="205" t="s">
        <v>133</v>
      </c>
      <c r="I72" s="205" t="s">
        <v>133</v>
      </c>
      <c r="J72" s="206" t="s">
        <v>133</v>
      </c>
    </row>
    <row r="73" spans="1:10" ht="14.25" thickTop="1" thickBot="1">
      <c r="A73" s="6">
        <v>1</v>
      </c>
      <c r="B73" s="6" t="s">
        <v>184</v>
      </c>
      <c r="C73" s="207" t="s">
        <v>134</v>
      </c>
      <c r="D73" s="207" t="s">
        <v>135</v>
      </c>
      <c r="E73" s="207" t="s">
        <v>134</v>
      </c>
      <c r="F73" s="207" t="s">
        <v>135</v>
      </c>
      <c r="G73" s="207" t="s">
        <v>136</v>
      </c>
      <c r="H73" s="207" t="s">
        <v>137</v>
      </c>
      <c r="I73" s="207" t="s">
        <v>138</v>
      </c>
      <c r="J73" s="172" t="s">
        <v>139</v>
      </c>
    </row>
    <row r="74" spans="1:10" ht="14.25" thickTop="1" thickBot="1">
      <c r="A74" s="96">
        <v>2</v>
      </c>
      <c r="B74" s="96" t="s">
        <v>185</v>
      </c>
      <c r="C74" s="212"/>
      <c r="D74" s="252"/>
      <c r="E74" s="252"/>
      <c r="F74" s="252"/>
      <c r="G74" s="252"/>
      <c r="H74" s="252"/>
      <c r="I74" s="21"/>
      <c r="J74" s="21"/>
    </row>
    <row r="75" spans="1:10" ht="13.5" thickTop="1">
      <c r="A75" s="96">
        <v>3</v>
      </c>
      <c r="B75" s="96" t="s">
        <v>186</v>
      </c>
      <c r="C75" s="212"/>
      <c r="D75" s="252"/>
      <c r="E75" s="252"/>
      <c r="F75" s="252"/>
      <c r="G75" s="252"/>
      <c r="H75" s="252"/>
      <c r="I75" s="21">
        <v>4966</v>
      </c>
      <c r="J75" s="21">
        <v>4966</v>
      </c>
    </row>
    <row r="76" spans="1:10">
      <c r="A76" s="100">
        <v>4</v>
      </c>
      <c r="B76" s="100" t="s">
        <v>167</v>
      </c>
      <c r="C76" s="213"/>
      <c r="D76" s="213"/>
      <c r="E76" s="213"/>
      <c r="F76" s="10"/>
      <c r="G76" s="10"/>
      <c r="H76" s="10"/>
      <c r="I76" s="10">
        <v>4966</v>
      </c>
      <c r="J76" s="10">
        <v>4966</v>
      </c>
    </row>
    <row r="77" spans="1:10" ht="13.5" thickBot="1">
      <c r="A77" s="96">
        <v>5</v>
      </c>
      <c r="B77" s="96" t="s">
        <v>187</v>
      </c>
      <c r="C77" s="212"/>
      <c r="D77" s="212"/>
      <c r="E77" s="212"/>
      <c r="F77" s="21"/>
      <c r="G77" s="21"/>
      <c r="H77" s="21"/>
      <c r="I77" s="21"/>
      <c r="J77" s="21"/>
    </row>
    <row r="78" spans="1:10" ht="14.25" thickTop="1" thickBot="1">
      <c r="A78" s="96">
        <v>6</v>
      </c>
      <c r="B78" s="96" t="s">
        <v>344</v>
      </c>
      <c r="C78" s="21"/>
      <c r="D78" s="252"/>
      <c r="E78" s="252"/>
      <c r="F78" s="252"/>
      <c r="G78" s="252"/>
      <c r="H78" s="252"/>
      <c r="I78" s="21"/>
      <c r="J78" s="21"/>
    </row>
    <row r="79" spans="1:10" ht="14.25" thickTop="1" thickBot="1">
      <c r="A79" s="96">
        <v>7</v>
      </c>
      <c r="B79" s="96" t="s">
        <v>345</v>
      </c>
      <c r="C79" s="21"/>
      <c r="D79" s="252"/>
      <c r="E79" s="252"/>
      <c r="F79" s="252"/>
      <c r="G79" s="252"/>
      <c r="H79" s="252"/>
      <c r="I79" s="21">
        <v>497</v>
      </c>
      <c r="J79" s="21">
        <v>497</v>
      </c>
    </row>
    <row r="80" spans="1:10" ht="14.25" thickTop="1" thickBot="1">
      <c r="A80" s="96">
        <v>8</v>
      </c>
      <c r="B80" s="96" t="s">
        <v>346</v>
      </c>
      <c r="C80" s="21"/>
      <c r="D80" s="252"/>
      <c r="E80" s="252"/>
      <c r="F80" s="252"/>
      <c r="G80" s="252"/>
      <c r="H80" s="252"/>
      <c r="I80" s="21"/>
      <c r="J80" s="21"/>
    </row>
    <row r="81" spans="1:12" ht="13.5" thickTop="1">
      <c r="A81" s="96">
        <v>9</v>
      </c>
      <c r="B81" s="96" t="s">
        <v>347</v>
      </c>
      <c r="C81" s="21"/>
      <c r="D81" s="253"/>
      <c r="E81" s="253"/>
      <c r="F81" s="253"/>
      <c r="G81" s="253"/>
      <c r="H81" s="253"/>
      <c r="I81" s="21"/>
      <c r="J81" s="21"/>
    </row>
    <row r="82" spans="1:12">
      <c r="A82" s="96">
        <f>A81+1</f>
        <v>10</v>
      </c>
      <c r="B82" s="96" t="s">
        <v>348</v>
      </c>
      <c r="C82" s="21"/>
      <c r="D82" s="212"/>
      <c r="E82" s="212"/>
      <c r="F82" s="21"/>
      <c r="G82" s="21"/>
      <c r="H82" s="21"/>
      <c r="I82" s="21">
        <v>1103</v>
      </c>
      <c r="J82" s="21">
        <v>1103</v>
      </c>
    </row>
    <row r="83" spans="1:12">
      <c r="A83" s="100">
        <f t="shared" ref="A83:A97" si="14">A82+1</f>
        <v>11</v>
      </c>
      <c r="B83" s="100" t="s">
        <v>169</v>
      </c>
      <c r="C83" s="213"/>
      <c r="D83" s="213"/>
      <c r="E83" s="213"/>
      <c r="F83" s="10"/>
      <c r="G83" s="10"/>
      <c r="H83" s="10"/>
      <c r="I83" s="10">
        <f>SUM(I78:I82)</f>
        <v>1600</v>
      </c>
      <c r="J83" s="10">
        <f>SUM(J78:J82)</f>
        <v>1600</v>
      </c>
    </row>
    <row r="84" spans="1:12">
      <c r="A84" s="96">
        <f t="shared" si="14"/>
        <v>12</v>
      </c>
      <c r="B84" s="96" t="s">
        <v>188</v>
      </c>
      <c r="C84" s="212"/>
      <c r="D84" s="212"/>
      <c r="E84" s="212"/>
      <c r="F84" s="21"/>
      <c r="G84" s="21"/>
      <c r="H84" s="21"/>
      <c r="I84" s="21"/>
      <c r="J84" s="21"/>
    </row>
    <row r="85" spans="1:12">
      <c r="A85" s="96">
        <f t="shared" si="14"/>
        <v>13</v>
      </c>
      <c r="B85" s="96" t="s">
        <v>189</v>
      </c>
      <c r="C85" s="212">
        <f>-'2'!C77+'2'!C39-'2'!C47</f>
        <v>-3861</v>
      </c>
      <c r="D85" s="212">
        <f>SUM('2'!D39-'2'!D77)-'2'!J47</f>
        <v>1062</v>
      </c>
      <c r="E85" s="212">
        <f>SUM('2'!E39-'2'!E77)</f>
        <v>-927</v>
      </c>
      <c r="F85" s="212">
        <f>SUM('2'!F39-'2'!F77)</f>
        <v>-881</v>
      </c>
      <c r="G85" s="212">
        <f>SUM('2'!G39-'2'!G77)</f>
        <v>-870</v>
      </c>
      <c r="H85" s="212">
        <f>SUM('2'!H39-'2'!H77)</f>
        <v>3332</v>
      </c>
      <c r="I85" s="21">
        <f>C85+E85+G85</f>
        <v>-5658</v>
      </c>
      <c r="J85" s="21">
        <v>3516</v>
      </c>
    </row>
    <row r="86" spans="1:12">
      <c r="A86" s="96">
        <f t="shared" si="14"/>
        <v>14</v>
      </c>
      <c r="B86" s="96" t="s">
        <v>248</v>
      </c>
      <c r="C86" s="212"/>
      <c r="D86" s="212"/>
      <c r="E86" s="212"/>
      <c r="F86" s="21"/>
      <c r="G86" s="21"/>
      <c r="H86" s="21"/>
      <c r="I86" s="21">
        <f>C86+E86+G86+J85+J81+J86</f>
        <v>-7879</v>
      </c>
      <c r="J86" s="21">
        <v>-11395</v>
      </c>
      <c r="L86">
        <f>+I86+10804</f>
        <v>2925</v>
      </c>
    </row>
    <row r="87" spans="1:12">
      <c r="A87" s="100">
        <f t="shared" si="14"/>
        <v>15</v>
      </c>
      <c r="B87" s="100" t="s">
        <v>190</v>
      </c>
      <c r="C87" s="213">
        <f>SUM(C85:C86)</f>
        <v>-3861</v>
      </c>
      <c r="D87" s="213">
        <f t="shared" ref="D87:J87" si="15">SUM(D85:D86)</f>
        <v>1062</v>
      </c>
      <c r="E87" s="213">
        <f t="shared" si="15"/>
        <v>-927</v>
      </c>
      <c r="F87" s="10">
        <f t="shared" si="15"/>
        <v>-881</v>
      </c>
      <c r="G87" s="10">
        <f t="shared" si="15"/>
        <v>-870</v>
      </c>
      <c r="H87" s="10">
        <f t="shared" si="15"/>
        <v>3332</v>
      </c>
      <c r="I87" s="10">
        <f t="shared" si="15"/>
        <v>-13537</v>
      </c>
      <c r="J87" s="10">
        <f t="shared" si="15"/>
        <v>-7879</v>
      </c>
    </row>
    <row r="88" spans="1:12">
      <c r="A88" s="100">
        <f t="shared" si="14"/>
        <v>16</v>
      </c>
      <c r="B88" s="100" t="s">
        <v>191</v>
      </c>
      <c r="C88" s="184">
        <f>C87+I76+I83</f>
        <v>2705</v>
      </c>
      <c r="D88" s="184">
        <f>D87+J76+J83</f>
        <v>7628</v>
      </c>
      <c r="E88" s="184">
        <f t="shared" ref="E88:J88" si="16">E76+E83+E87</f>
        <v>-927</v>
      </c>
      <c r="F88" s="10">
        <f t="shared" si="16"/>
        <v>-881</v>
      </c>
      <c r="G88" s="10">
        <f t="shared" si="16"/>
        <v>-870</v>
      </c>
      <c r="H88" s="10">
        <f t="shared" si="16"/>
        <v>3332</v>
      </c>
      <c r="I88" s="10">
        <f t="shared" si="16"/>
        <v>-6971</v>
      </c>
      <c r="J88" s="10">
        <f t="shared" si="16"/>
        <v>-1313</v>
      </c>
    </row>
    <row r="89" spans="1:12">
      <c r="A89" s="101"/>
      <c r="B89" s="101"/>
      <c r="C89" s="102"/>
      <c r="D89" s="102"/>
      <c r="E89" s="102"/>
      <c r="F89" s="103"/>
      <c r="G89" s="103"/>
      <c r="H89" s="103"/>
      <c r="I89" s="103"/>
      <c r="J89" s="103"/>
    </row>
    <row r="90" spans="1:12">
      <c r="A90" s="96">
        <f>A88+1</f>
        <v>17</v>
      </c>
      <c r="B90" s="96" t="s">
        <v>192</v>
      </c>
      <c r="C90" s="214"/>
      <c r="D90" s="214"/>
      <c r="E90" s="214"/>
      <c r="F90" s="21"/>
      <c r="G90" s="21"/>
      <c r="H90" s="21"/>
      <c r="I90" s="21"/>
      <c r="J90" s="21"/>
    </row>
    <row r="91" spans="1:12">
      <c r="A91" s="96">
        <f t="shared" si="14"/>
        <v>18</v>
      </c>
      <c r="B91" s="96" t="s">
        <v>193</v>
      </c>
      <c r="C91" s="212"/>
      <c r="D91" s="212"/>
      <c r="E91" s="212"/>
      <c r="F91" s="21"/>
      <c r="G91" s="21"/>
      <c r="H91" s="21"/>
      <c r="I91" s="21"/>
      <c r="J91" s="21"/>
    </row>
    <row r="92" spans="1:12">
      <c r="A92" s="96">
        <f t="shared" si="14"/>
        <v>19</v>
      </c>
      <c r="B92" s="96" t="s">
        <v>194</v>
      </c>
      <c r="C92" s="212"/>
      <c r="D92" s="212"/>
      <c r="E92" s="212"/>
      <c r="F92" s="21"/>
      <c r="G92" s="21"/>
      <c r="H92" s="21"/>
      <c r="I92" s="21"/>
      <c r="J92" s="21"/>
    </row>
    <row r="93" spans="1:12">
      <c r="A93" s="96">
        <f t="shared" si="14"/>
        <v>20</v>
      </c>
      <c r="B93" s="96" t="s">
        <v>195</v>
      </c>
      <c r="C93" s="212">
        <f>'5'!E15-E93</f>
        <v>343</v>
      </c>
      <c r="D93" s="212">
        <f>'5'!D15-F93</f>
        <v>978</v>
      </c>
      <c r="E93" s="212"/>
      <c r="F93" s="212"/>
      <c r="G93" s="21"/>
      <c r="H93" s="21"/>
      <c r="I93" s="21">
        <f>C93+E93</f>
        <v>343</v>
      </c>
      <c r="J93" s="21">
        <f>D93+F93</f>
        <v>978</v>
      </c>
    </row>
    <row r="94" spans="1:12">
      <c r="A94" s="100">
        <f t="shared" si="14"/>
        <v>21</v>
      </c>
      <c r="B94" s="100" t="s">
        <v>167</v>
      </c>
      <c r="C94" s="213">
        <f>SUM(C92:C93)</f>
        <v>343</v>
      </c>
      <c r="D94" s="213">
        <f>SUM(D92:D93)</f>
        <v>978</v>
      </c>
      <c r="E94" s="213">
        <f t="shared" ref="E94:J94" si="17">SUM(E92:E93)</f>
        <v>0</v>
      </c>
      <c r="F94" s="213">
        <f t="shared" si="17"/>
        <v>0</v>
      </c>
      <c r="G94" s="213">
        <f t="shared" si="17"/>
        <v>0</v>
      </c>
      <c r="H94" s="213">
        <f t="shared" si="17"/>
        <v>0</v>
      </c>
      <c r="I94" s="213">
        <f t="shared" si="17"/>
        <v>343</v>
      </c>
      <c r="J94" s="213">
        <f t="shared" si="17"/>
        <v>978</v>
      </c>
    </row>
    <row r="95" spans="1:12">
      <c r="A95" s="96">
        <f t="shared" si="14"/>
        <v>22</v>
      </c>
      <c r="B95" s="96" t="s">
        <v>196</v>
      </c>
      <c r="C95" s="212">
        <v>28</v>
      </c>
      <c r="D95" s="212">
        <v>31</v>
      </c>
      <c r="E95" s="212"/>
      <c r="F95" s="21"/>
      <c r="G95" s="21"/>
      <c r="H95" s="21"/>
      <c r="I95" s="21">
        <f>C95</f>
        <v>28</v>
      </c>
      <c r="J95" s="21">
        <f>D95</f>
        <v>31</v>
      </c>
    </row>
    <row r="96" spans="1:12">
      <c r="A96" s="108">
        <f t="shared" si="14"/>
        <v>23</v>
      </c>
      <c r="B96" s="108" t="s">
        <v>169</v>
      </c>
      <c r="C96" s="221">
        <f>+C95</f>
        <v>28</v>
      </c>
      <c r="D96" s="221">
        <f>+D95</f>
        <v>31</v>
      </c>
      <c r="E96" s="221"/>
      <c r="F96" s="31"/>
      <c r="G96" s="31"/>
      <c r="H96" s="31"/>
      <c r="I96" s="31">
        <f>C96</f>
        <v>28</v>
      </c>
      <c r="J96" s="31">
        <f>D96</f>
        <v>31</v>
      </c>
    </row>
    <row r="97" spans="1:10">
      <c r="A97" s="108">
        <f t="shared" si="14"/>
        <v>24</v>
      </c>
      <c r="B97" s="108" t="s">
        <v>182</v>
      </c>
      <c r="C97" s="184">
        <f>C96+C94</f>
        <v>371</v>
      </c>
      <c r="D97" s="218">
        <f>D96+D94</f>
        <v>1009</v>
      </c>
      <c r="E97" s="218"/>
      <c r="F97" s="31"/>
      <c r="G97" s="31"/>
      <c r="H97" s="31"/>
      <c r="I97" s="31">
        <f>I94+I96</f>
        <v>371</v>
      </c>
      <c r="J97" s="31">
        <f>J94+J96</f>
        <v>1009</v>
      </c>
    </row>
    <row r="98" spans="1:10">
      <c r="A98" s="113"/>
      <c r="B98" s="113"/>
      <c r="C98" s="114"/>
      <c r="D98" s="114"/>
      <c r="E98" s="114"/>
      <c r="F98" s="115"/>
      <c r="G98" s="115"/>
      <c r="H98" s="115"/>
      <c r="I98" s="115"/>
      <c r="J98" s="115"/>
    </row>
    <row r="99" spans="1:10">
      <c r="A99" s="108">
        <v>25</v>
      </c>
      <c r="B99" s="108" t="s">
        <v>249</v>
      </c>
      <c r="C99" s="218"/>
      <c r="D99" s="218"/>
      <c r="E99" s="218"/>
      <c r="F99" s="31"/>
      <c r="G99" s="31"/>
      <c r="H99" s="31"/>
      <c r="I99" s="31"/>
      <c r="J99" s="31"/>
    </row>
    <row r="100" spans="1:10">
      <c r="A100" s="108">
        <f>SUM(A99)+1</f>
        <v>26</v>
      </c>
      <c r="B100" s="108" t="s">
        <v>197</v>
      </c>
      <c r="C100" s="212"/>
      <c r="D100" s="212"/>
      <c r="E100" s="212"/>
      <c r="F100" s="21"/>
      <c r="G100" s="21"/>
      <c r="H100" s="21"/>
      <c r="I100" s="21"/>
      <c r="J100" s="21"/>
    </row>
    <row r="101" spans="1:10">
      <c r="A101" s="108">
        <f t="shared" ref="A101:A113" si="18">SUM(A100)+1</f>
        <v>27</v>
      </c>
      <c r="B101" s="108" t="s">
        <v>198</v>
      </c>
      <c r="C101" s="212">
        <v>13922</v>
      </c>
      <c r="D101" s="212">
        <v>8657</v>
      </c>
      <c r="E101" s="212"/>
      <c r="F101" s="21"/>
      <c r="G101" s="21"/>
      <c r="H101" s="21"/>
      <c r="I101" s="21">
        <f>G101+E101+C101</f>
        <v>13922</v>
      </c>
      <c r="J101" s="21">
        <f>H101+F101+D101</f>
        <v>8657</v>
      </c>
    </row>
    <row r="102" spans="1:10">
      <c r="A102" s="108">
        <f t="shared" si="18"/>
        <v>28</v>
      </c>
      <c r="B102" s="108" t="s">
        <v>199</v>
      </c>
      <c r="C102" s="212">
        <v>801</v>
      </c>
      <c r="D102" s="212">
        <v>378</v>
      </c>
      <c r="E102" s="212"/>
      <c r="F102" s="21"/>
      <c r="G102" s="21"/>
      <c r="H102" s="21"/>
      <c r="I102" s="21">
        <f t="shared" ref="I102:I111" si="19">G102+E102+C102</f>
        <v>801</v>
      </c>
      <c r="J102" s="21">
        <f t="shared" ref="J102:J110" si="20">H102+F102+D102</f>
        <v>378</v>
      </c>
    </row>
    <row r="103" spans="1:10">
      <c r="A103" s="108">
        <f t="shared" si="18"/>
        <v>29</v>
      </c>
      <c r="B103" s="108" t="s">
        <v>200</v>
      </c>
      <c r="C103" s="212">
        <v>11</v>
      </c>
      <c r="D103" s="212">
        <v>11</v>
      </c>
      <c r="E103" s="212"/>
      <c r="F103" s="21"/>
      <c r="G103" s="21"/>
      <c r="H103" s="21"/>
      <c r="I103" s="21">
        <f t="shared" si="19"/>
        <v>11</v>
      </c>
      <c r="J103" s="21">
        <f t="shared" si="20"/>
        <v>11</v>
      </c>
    </row>
    <row r="104" spans="1:10">
      <c r="A104" s="108">
        <f t="shared" si="18"/>
        <v>30</v>
      </c>
      <c r="B104" s="108" t="s">
        <v>201</v>
      </c>
      <c r="C104" s="212">
        <v>458</v>
      </c>
      <c r="D104" s="212">
        <v>472</v>
      </c>
      <c r="E104" s="212"/>
      <c r="F104" s="21"/>
      <c r="G104" s="21"/>
      <c r="H104" s="21"/>
      <c r="I104" s="21">
        <f t="shared" si="19"/>
        <v>458</v>
      </c>
      <c r="J104" s="21">
        <f t="shared" si="20"/>
        <v>472</v>
      </c>
    </row>
    <row r="105" spans="1:10">
      <c r="A105" s="108">
        <f t="shared" si="18"/>
        <v>31</v>
      </c>
      <c r="B105" s="108" t="s">
        <v>202</v>
      </c>
      <c r="C105" s="212"/>
      <c r="D105" s="212"/>
      <c r="E105" s="212"/>
      <c r="F105" s="21"/>
      <c r="G105" s="21"/>
      <c r="H105" s="21"/>
      <c r="I105" s="21">
        <f t="shared" si="19"/>
        <v>0</v>
      </c>
      <c r="J105" s="21">
        <f t="shared" si="20"/>
        <v>0</v>
      </c>
    </row>
    <row r="106" spans="1:10">
      <c r="A106" s="108">
        <f t="shared" si="18"/>
        <v>32</v>
      </c>
      <c r="B106" s="108" t="s">
        <v>349</v>
      </c>
      <c r="C106" s="21">
        <v>429</v>
      </c>
      <c r="D106" s="21">
        <v>225</v>
      </c>
      <c r="E106" s="212"/>
      <c r="F106" s="21"/>
      <c r="G106" s="21"/>
      <c r="H106" s="21"/>
      <c r="I106" s="21">
        <f t="shared" si="19"/>
        <v>429</v>
      </c>
      <c r="J106" s="21">
        <f t="shared" si="20"/>
        <v>225</v>
      </c>
    </row>
    <row r="107" spans="1:10">
      <c r="A107" s="108">
        <f t="shared" si="18"/>
        <v>33</v>
      </c>
      <c r="B107" s="108" t="s">
        <v>203</v>
      </c>
      <c r="C107" s="212">
        <v>413</v>
      </c>
      <c r="D107" s="212">
        <v>318</v>
      </c>
      <c r="E107" s="212"/>
      <c r="F107" s="21"/>
      <c r="G107" s="21"/>
      <c r="H107" s="21"/>
      <c r="I107" s="21">
        <f t="shared" si="19"/>
        <v>413</v>
      </c>
      <c r="J107" s="21">
        <f t="shared" si="20"/>
        <v>318</v>
      </c>
    </row>
    <row r="108" spans="1:10">
      <c r="A108" s="108">
        <f t="shared" si="18"/>
        <v>34</v>
      </c>
      <c r="B108" s="108" t="s">
        <v>204</v>
      </c>
      <c r="C108" s="212"/>
      <c r="D108" s="212"/>
      <c r="E108" s="212"/>
      <c r="F108" s="21"/>
      <c r="G108" s="21"/>
      <c r="H108" s="21"/>
      <c r="I108" s="21">
        <f t="shared" si="19"/>
        <v>0</v>
      </c>
      <c r="J108" s="21">
        <f t="shared" si="20"/>
        <v>0</v>
      </c>
    </row>
    <row r="109" spans="1:10">
      <c r="A109" s="108">
        <f t="shared" si="18"/>
        <v>35</v>
      </c>
      <c r="B109" s="108" t="s">
        <v>205</v>
      </c>
      <c r="C109" s="212">
        <f>25855-SUM(C102:C106)</f>
        <v>24156</v>
      </c>
      <c r="D109" s="212">
        <f>24788-SUM(D102:D106)</f>
        <v>23702</v>
      </c>
      <c r="E109" s="212"/>
      <c r="F109" s="21"/>
      <c r="G109" s="21"/>
      <c r="H109" s="21"/>
      <c r="I109" s="21">
        <f t="shared" si="19"/>
        <v>24156</v>
      </c>
      <c r="J109" s="21">
        <f t="shared" si="20"/>
        <v>23702</v>
      </c>
    </row>
    <row r="110" spans="1:10">
      <c r="A110" s="108">
        <f t="shared" si="18"/>
        <v>36</v>
      </c>
      <c r="B110" s="108" t="s">
        <v>167</v>
      </c>
      <c r="C110" s="213">
        <f>SUM(C101:C109)</f>
        <v>40190</v>
      </c>
      <c r="D110" s="213">
        <f>SUM(D101:D109)</f>
        <v>33763</v>
      </c>
      <c r="E110" s="213"/>
      <c r="F110" s="10"/>
      <c r="G110" s="10">
        <f>SUM(G101:G109)</f>
        <v>0</v>
      </c>
      <c r="H110" s="10">
        <f>SUM(H101:H109)</f>
        <v>0</v>
      </c>
      <c r="I110" s="10">
        <f t="shared" si="19"/>
        <v>40190</v>
      </c>
      <c r="J110" s="10">
        <f t="shared" si="20"/>
        <v>33763</v>
      </c>
    </row>
    <row r="111" spans="1:10">
      <c r="A111" s="108">
        <f t="shared" si="18"/>
        <v>37</v>
      </c>
      <c r="B111" s="108" t="s">
        <v>196</v>
      </c>
      <c r="C111" s="212"/>
      <c r="D111" s="212"/>
      <c r="E111" s="212"/>
      <c r="F111" s="21"/>
      <c r="G111" s="21"/>
      <c r="H111" s="21"/>
      <c r="I111" s="21">
        <f t="shared" si="19"/>
        <v>0</v>
      </c>
      <c r="J111" s="21">
        <f>D111</f>
        <v>0</v>
      </c>
    </row>
    <row r="112" spans="1:10">
      <c r="A112" s="108">
        <f t="shared" si="18"/>
        <v>38</v>
      </c>
      <c r="B112" s="108" t="s">
        <v>169</v>
      </c>
      <c r="C112" s="213">
        <f>+C111</f>
        <v>0</v>
      </c>
      <c r="D112" s="213">
        <f>+D111</f>
        <v>0</v>
      </c>
      <c r="E112" s="213"/>
      <c r="F112" s="92"/>
      <c r="G112" s="92"/>
      <c r="H112" s="92"/>
      <c r="I112" s="92">
        <f>C112</f>
        <v>0</v>
      </c>
      <c r="J112" s="92">
        <f>D112</f>
        <v>0</v>
      </c>
    </row>
    <row r="113" spans="1:13">
      <c r="A113" s="108">
        <f t="shared" si="18"/>
        <v>39</v>
      </c>
      <c r="B113" s="108" t="s">
        <v>206</v>
      </c>
      <c r="C113" s="184">
        <f>C110+C112</f>
        <v>40190</v>
      </c>
      <c r="D113" s="184">
        <f t="shared" ref="D113:J113" si="21">D110+D112</f>
        <v>33763</v>
      </c>
      <c r="E113" s="184">
        <f t="shared" si="21"/>
        <v>0</v>
      </c>
      <c r="F113" s="346">
        <f t="shared" si="21"/>
        <v>0</v>
      </c>
      <c r="G113" s="346">
        <f t="shared" si="21"/>
        <v>0</v>
      </c>
      <c r="H113" s="346">
        <f t="shared" si="21"/>
        <v>0</v>
      </c>
      <c r="I113" s="346">
        <f t="shared" si="21"/>
        <v>40190</v>
      </c>
      <c r="J113" s="346">
        <f t="shared" si="21"/>
        <v>33763</v>
      </c>
    </row>
    <row r="114" spans="1:13">
      <c r="A114" s="112"/>
      <c r="B114" s="112"/>
      <c r="C114" s="102"/>
      <c r="D114" s="102"/>
      <c r="E114" s="102"/>
      <c r="F114" s="523"/>
      <c r="G114" s="523"/>
      <c r="H114" s="523"/>
      <c r="I114" s="523"/>
      <c r="J114" s="523"/>
    </row>
    <row r="115" spans="1:13">
      <c r="A115" s="108">
        <v>40</v>
      </c>
      <c r="B115" s="108" t="s">
        <v>207</v>
      </c>
      <c r="C115" s="222">
        <f>C113+C97+C88</f>
        <v>43266</v>
      </c>
      <c r="D115" s="222">
        <f>D113+D97+D88</f>
        <v>42400</v>
      </c>
      <c r="E115" s="222">
        <f t="shared" ref="E115:J115" si="22">E113+E97+E88</f>
        <v>-927</v>
      </c>
      <c r="F115" s="10">
        <f t="shared" si="22"/>
        <v>-881</v>
      </c>
      <c r="G115" s="10">
        <f t="shared" si="22"/>
        <v>-870</v>
      </c>
      <c r="H115" s="10">
        <f t="shared" si="22"/>
        <v>3332</v>
      </c>
      <c r="I115" s="10">
        <f t="shared" si="22"/>
        <v>33590</v>
      </c>
      <c r="J115" s="10">
        <f t="shared" si="22"/>
        <v>33459</v>
      </c>
      <c r="K115" s="545">
        <f>+L115-I115</f>
        <v>0</v>
      </c>
      <c r="L115">
        <v>33590</v>
      </c>
      <c r="M115">
        <v>33459</v>
      </c>
    </row>
    <row r="116" spans="1:13">
      <c r="A116" s="109"/>
      <c r="B116" s="109"/>
      <c r="C116" s="110"/>
      <c r="D116" s="110"/>
      <c r="E116" s="110"/>
      <c r="F116" s="111"/>
      <c r="G116" s="111"/>
      <c r="H116" s="111"/>
      <c r="I116" s="111"/>
      <c r="J116" s="111"/>
      <c r="K116">
        <f>40120+413</f>
        <v>40533</v>
      </c>
    </row>
    <row r="117" spans="1:13" ht="13.5" thickBot="1">
      <c r="A117" s="108">
        <v>41</v>
      </c>
      <c r="B117" s="223" t="s">
        <v>208</v>
      </c>
      <c r="C117" s="223"/>
      <c r="D117" s="223"/>
      <c r="E117" s="223"/>
      <c r="F117" s="93"/>
      <c r="G117" s="93"/>
      <c r="H117" s="93"/>
      <c r="I117" s="93"/>
      <c r="J117" s="93"/>
    </row>
    <row r="118" spans="1:13" ht="13.5" thickTop="1"/>
    <row r="120" spans="1:13">
      <c r="B120" t="s">
        <v>48</v>
      </c>
      <c r="C120" s="182"/>
      <c r="D120" s="182"/>
      <c r="E120" s="182"/>
      <c r="F120" s="48"/>
      <c r="G120" s="5"/>
      <c r="H120" s="5" t="s">
        <v>35</v>
      </c>
      <c r="I120" s="165"/>
      <c r="J120" s="48"/>
    </row>
    <row r="121" spans="1:13">
      <c r="C121" s="49"/>
      <c r="D121" s="49"/>
      <c r="E121" s="49"/>
      <c r="F121" t="s">
        <v>36</v>
      </c>
      <c r="G121" s="164"/>
    </row>
    <row r="122" spans="1:13">
      <c r="C122" s="4"/>
      <c r="D122" s="4"/>
      <c r="E122" s="4"/>
    </row>
    <row r="123" spans="1:13">
      <c r="B123" t="s">
        <v>37</v>
      </c>
      <c r="C123" s="182"/>
      <c r="D123" s="182"/>
      <c r="E123" s="182"/>
      <c r="F123" s="48"/>
      <c r="G123" s="5"/>
      <c r="H123" s="5" t="s">
        <v>35</v>
      </c>
      <c r="I123" s="165"/>
      <c r="J123" s="48"/>
    </row>
    <row r="124" spans="1:13">
      <c r="A124" s="2"/>
      <c r="B124" s="2"/>
      <c r="C124" s="49"/>
      <c r="D124" s="49"/>
      <c r="E124" s="49"/>
      <c r="F124" t="s">
        <v>36</v>
      </c>
      <c r="G124" s="164"/>
    </row>
  </sheetData>
  <mergeCells count="20">
    <mergeCell ref="A1:J1"/>
    <mergeCell ref="A3:J3"/>
    <mergeCell ref="A5:J5"/>
    <mergeCell ref="A6:J6"/>
    <mergeCell ref="C9:D9"/>
    <mergeCell ref="E9:F9"/>
    <mergeCell ref="G9:H9"/>
    <mergeCell ref="I9:J9"/>
    <mergeCell ref="C8:D8"/>
    <mergeCell ref="E8:F8"/>
    <mergeCell ref="G8:H8"/>
    <mergeCell ref="I8:J8"/>
    <mergeCell ref="C69:D69"/>
    <mergeCell ref="E69:F69"/>
    <mergeCell ref="G69:H69"/>
    <mergeCell ref="I69:J69"/>
    <mergeCell ref="C68:D68"/>
    <mergeCell ref="E68:F68"/>
    <mergeCell ref="G68:H68"/>
    <mergeCell ref="I68:J68"/>
  </mergeCells>
  <phoneticPr fontId="2" type="noConversion"/>
  <printOptions horizontalCentered="1"/>
  <pageMargins left="0.17" right="0.17" top="0.39370078740157483" bottom="0.39370078740157483" header="0.51181102362204722" footer="0.51181102362204722"/>
  <pageSetup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9"/>
  <sheetViews>
    <sheetView topLeftCell="C52" zoomScaleNormal="100" zoomScaleSheetLayoutView="75" workbookViewId="0">
      <selection activeCell="I83" sqref="I83"/>
    </sheetView>
  </sheetViews>
  <sheetFormatPr defaultRowHeight="12.75"/>
  <cols>
    <col min="2" max="2" width="50.5703125" customWidth="1"/>
    <col min="3" max="3" width="14.42578125" customWidth="1"/>
    <col min="4" max="4" width="15.5703125" customWidth="1"/>
    <col min="5" max="5" width="14.85546875" customWidth="1"/>
    <col min="6" max="6" width="17.5703125" customWidth="1"/>
    <col min="7" max="7" width="14.42578125" customWidth="1"/>
    <col min="8" max="8" width="12.140625" customWidth="1"/>
    <col min="9" max="9" width="9.28515625" bestFit="1" customWidth="1"/>
    <col min="10" max="10" width="14.7109375" customWidth="1"/>
    <col min="11" max="11" width="6" bestFit="1" customWidth="1"/>
  </cols>
  <sheetData>
    <row r="1" spans="1:12">
      <c r="A1" s="612" t="s">
        <v>420</v>
      </c>
      <c r="B1" s="613"/>
      <c r="C1" s="613"/>
      <c r="D1" s="613"/>
      <c r="E1" s="613"/>
      <c r="F1" s="613"/>
      <c r="G1" s="613"/>
      <c r="H1" s="613"/>
      <c r="I1" s="613"/>
      <c r="J1" s="613"/>
    </row>
    <row r="2" spans="1:12">
      <c r="A2" s="618" t="s">
        <v>470</v>
      </c>
      <c r="B2" s="619"/>
      <c r="C2" s="619"/>
      <c r="D2" s="619"/>
      <c r="E2" s="619"/>
      <c r="F2" s="619"/>
      <c r="G2" s="619"/>
      <c r="H2" s="619"/>
      <c r="I2" s="619"/>
      <c r="J2" s="619"/>
    </row>
    <row r="3" spans="1:12">
      <c r="A3" s="53"/>
      <c r="B3" s="53"/>
      <c r="C3" s="53"/>
      <c r="D3" s="53"/>
      <c r="E3" s="53"/>
      <c r="F3" s="53"/>
      <c r="G3" s="53"/>
      <c r="H3" s="53"/>
      <c r="I3" s="53"/>
      <c r="J3" s="53"/>
    </row>
    <row r="4" spans="1:12">
      <c r="A4" s="612" t="s">
        <v>247</v>
      </c>
      <c r="B4" s="613"/>
      <c r="C4" s="613"/>
      <c r="D4" s="613"/>
      <c r="E4" s="613"/>
      <c r="F4" s="613"/>
      <c r="G4" s="613"/>
      <c r="H4" s="613"/>
      <c r="I4" s="613"/>
      <c r="J4" s="613"/>
    </row>
    <row r="5" spans="1:12" ht="13.5" thickBot="1">
      <c r="A5" s="612" t="s">
        <v>127</v>
      </c>
      <c r="B5" s="613"/>
      <c r="C5" s="613"/>
      <c r="D5" s="613"/>
      <c r="E5" s="613"/>
      <c r="F5" s="613"/>
      <c r="G5" s="613"/>
      <c r="H5" s="613"/>
      <c r="I5" s="613"/>
      <c r="J5" s="613"/>
    </row>
    <row r="6" spans="1:12" ht="13.5" thickBot="1">
      <c r="A6" s="578"/>
      <c r="B6" s="579"/>
      <c r="C6" s="579"/>
      <c r="D6" s="579"/>
      <c r="E6" s="579"/>
      <c r="F6" s="579"/>
      <c r="G6" s="579"/>
      <c r="H6" s="579"/>
      <c r="I6" s="579"/>
      <c r="J6" s="580"/>
    </row>
    <row r="7" spans="1:12">
      <c r="A7" s="437"/>
      <c r="B7" s="438"/>
      <c r="C7" s="615" t="s">
        <v>128</v>
      </c>
      <c r="D7" s="616"/>
      <c r="E7" s="615" t="s">
        <v>128</v>
      </c>
      <c r="F7" s="616"/>
      <c r="G7" s="615" t="s">
        <v>129</v>
      </c>
      <c r="H7" s="616"/>
      <c r="I7" s="615" t="s">
        <v>130</v>
      </c>
      <c r="J7" s="617"/>
    </row>
    <row r="8" spans="1:12">
      <c r="A8" s="439"/>
      <c r="B8" s="205" t="s">
        <v>252</v>
      </c>
      <c r="C8" s="606" t="s">
        <v>131</v>
      </c>
      <c r="D8" s="607"/>
      <c r="E8" s="606" t="s">
        <v>131</v>
      </c>
      <c r="F8" s="607"/>
      <c r="G8" s="606" t="s">
        <v>131</v>
      </c>
      <c r="H8" s="607"/>
      <c r="I8" s="606" t="s">
        <v>131</v>
      </c>
      <c r="J8" s="614"/>
    </row>
    <row r="9" spans="1:12">
      <c r="A9" s="440" t="s">
        <v>24</v>
      </c>
      <c r="B9" s="205" t="s">
        <v>132</v>
      </c>
      <c r="C9" s="166" t="s">
        <v>332</v>
      </c>
      <c r="D9" s="240"/>
      <c r="E9" s="166" t="s">
        <v>333</v>
      </c>
      <c r="F9" s="240"/>
      <c r="G9" s="205" t="s">
        <v>79</v>
      </c>
      <c r="H9" s="205" t="s">
        <v>78</v>
      </c>
      <c r="I9" s="205" t="s">
        <v>79</v>
      </c>
      <c r="J9" s="441" t="s">
        <v>78</v>
      </c>
    </row>
    <row r="10" spans="1:12">
      <c r="A10" s="440" t="s">
        <v>28</v>
      </c>
      <c r="B10" s="98"/>
      <c r="C10" s="205" t="s">
        <v>350</v>
      </c>
      <c r="D10" s="205" t="s">
        <v>351</v>
      </c>
      <c r="E10" s="205" t="s">
        <v>350</v>
      </c>
      <c r="F10" s="205" t="s">
        <v>351</v>
      </c>
      <c r="G10" s="205" t="s">
        <v>133</v>
      </c>
      <c r="H10" s="205" t="s">
        <v>133</v>
      </c>
      <c r="I10" s="205" t="s">
        <v>133</v>
      </c>
      <c r="J10" s="441" t="s">
        <v>133</v>
      </c>
    </row>
    <row r="11" spans="1:12" ht="13.5" thickBot="1">
      <c r="A11" s="442"/>
      <c r="B11" s="72"/>
      <c r="C11" s="207" t="s">
        <v>134</v>
      </c>
      <c r="D11" s="207" t="s">
        <v>135</v>
      </c>
      <c r="E11" s="207" t="s">
        <v>134</v>
      </c>
      <c r="F11" s="207" t="s">
        <v>135</v>
      </c>
      <c r="G11" s="207" t="s">
        <v>136</v>
      </c>
      <c r="H11" s="207" t="s">
        <v>137</v>
      </c>
      <c r="I11" s="207" t="s">
        <v>138</v>
      </c>
      <c r="J11" s="443" t="s">
        <v>139</v>
      </c>
    </row>
    <row r="12" spans="1:12" ht="13.5" thickTop="1">
      <c r="A12" s="444">
        <v>1</v>
      </c>
      <c r="B12" s="245" t="s">
        <v>140</v>
      </c>
      <c r="C12" s="575"/>
      <c r="D12" s="575"/>
      <c r="E12" s="575"/>
      <c r="F12" s="575"/>
      <c r="G12" s="18"/>
      <c r="H12" s="18"/>
      <c r="I12" s="18"/>
      <c r="J12" s="445"/>
    </row>
    <row r="13" spans="1:12">
      <c r="A13" s="446">
        <v>2</v>
      </c>
      <c r="B13" s="21" t="s">
        <v>352</v>
      </c>
      <c r="C13" s="212"/>
      <c r="D13" s="212"/>
      <c r="E13" s="21"/>
      <c r="F13" s="21"/>
      <c r="G13" s="21"/>
      <c r="H13" s="21"/>
      <c r="I13" s="21"/>
      <c r="J13" s="447"/>
    </row>
    <row r="14" spans="1:12">
      <c r="A14" s="446">
        <f>A13+1</f>
        <v>3</v>
      </c>
      <c r="B14" s="21" t="s">
        <v>353</v>
      </c>
      <c r="C14" s="537">
        <f>SUM('3_Б'!D87)</f>
        <v>19047</v>
      </c>
      <c r="D14" s="212">
        <v>19341</v>
      </c>
      <c r="E14" s="21">
        <f>SUM('3_В'!D86)</f>
        <v>346</v>
      </c>
      <c r="F14" s="21">
        <v>300</v>
      </c>
      <c r="G14" s="21">
        <f>'3_Б'!F87</f>
        <v>1020</v>
      </c>
      <c r="H14" s="21">
        <v>1081</v>
      </c>
      <c r="I14" s="21">
        <f>G14+E14+C14</f>
        <v>20413</v>
      </c>
      <c r="J14" s="447">
        <f>H14+F14+D14</f>
        <v>20722</v>
      </c>
      <c r="L14" s="541"/>
    </row>
    <row r="15" spans="1:12">
      <c r="A15" s="446">
        <f t="shared" ref="A15:A48" si="0">A14+1</f>
        <v>4</v>
      </c>
      <c r="B15" s="21" t="s">
        <v>354</v>
      </c>
      <c r="C15" s="537">
        <f>'3_Б'!D88</f>
        <v>874</v>
      </c>
      <c r="D15" s="212">
        <v>1041</v>
      </c>
      <c r="E15" s="542">
        <f>'3_Б'!E88</f>
        <v>83</v>
      </c>
      <c r="F15" s="21">
        <v>91</v>
      </c>
      <c r="G15" s="542">
        <f>'3_Б'!F88</f>
        <v>94</v>
      </c>
      <c r="H15" s="542">
        <v>97</v>
      </c>
      <c r="I15" s="21">
        <f t="shared" ref="I15:J23" si="1">G15+E15+C15</f>
        <v>1051</v>
      </c>
      <c r="J15" s="447">
        <f t="shared" si="1"/>
        <v>1229</v>
      </c>
      <c r="L15" s="541"/>
    </row>
    <row r="16" spans="1:12">
      <c r="A16" s="446">
        <f t="shared" si="0"/>
        <v>5</v>
      </c>
      <c r="B16" s="21" t="s">
        <v>355</v>
      </c>
      <c r="C16" s="537">
        <f>SUM('3_Б'!D89)</f>
        <v>979</v>
      </c>
      <c r="D16" s="212">
        <v>703</v>
      </c>
      <c r="E16" s="21">
        <f>SUM('3_В'!D88)</f>
        <v>153</v>
      </c>
      <c r="F16" s="21">
        <v>156</v>
      </c>
      <c r="G16" s="21">
        <f>'3_Б'!F89</f>
        <v>29</v>
      </c>
      <c r="H16" s="21">
        <v>112</v>
      </c>
      <c r="I16" s="21">
        <f t="shared" si="1"/>
        <v>1161</v>
      </c>
      <c r="J16" s="447">
        <f t="shared" si="1"/>
        <v>971</v>
      </c>
      <c r="L16" s="541"/>
    </row>
    <row r="17" spans="1:12">
      <c r="A17" s="446">
        <f t="shared" si="0"/>
        <v>6</v>
      </c>
      <c r="B17" s="21" t="s">
        <v>398</v>
      </c>
      <c r="C17" s="537">
        <f>SUM('3_Б'!D90)</f>
        <v>2902</v>
      </c>
      <c r="D17" s="212">
        <v>2727</v>
      </c>
      <c r="E17" s="21">
        <f>SUM('3_В'!D89)</f>
        <v>376</v>
      </c>
      <c r="F17" s="21">
        <v>376</v>
      </c>
      <c r="G17" s="21">
        <f>'3_Б'!F90</f>
        <v>163</v>
      </c>
      <c r="H17" s="21">
        <v>136</v>
      </c>
      <c r="I17" s="21">
        <f t="shared" si="1"/>
        <v>3441</v>
      </c>
      <c r="J17" s="447">
        <f t="shared" si="1"/>
        <v>3239</v>
      </c>
      <c r="L17" s="541"/>
    </row>
    <row r="18" spans="1:12">
      <c r="A18" s="446">
        <f t="shared" si="0"/>
        <v>7</v>
      </c>
      <c r="B18" s="21" t="s">
        <v>356</v>
      </c>
      <c r="C18" s="537">
        <f>SUM('3_Б'!D91)</f>
        <v>725</v>
      </c>
      <c r="D18" s="212">
        <v>654</v>
      </c>
      <c r="E18" s="21">
        <f>SUM('3_В'!D90)</f>
        <v>91</v>
      </c>
      <c r="F18" s="21">
        <v>89</v>
      </c>
      <c r="G18" s="21">
        <f>'3_Б'!F91</f>
        <v>80</v>
      </c>
      <c r="H18" s="21">
        <v>63</v>
      </c>
      <c r="I18" s="21">
        <f t="shared" si="1"/>
        <v>896</v>
      </c>
      <c r="J18" s="447">
        <f t="shared" si="1"/>
        <v>806</v>
      </c>
      <c r="L18" s="541"/>
    </row>
    <row r="19" spans="1:12">
      <c r="A19" s="446">
        <f t="shared" si="0"/>
        <v>8</v>
      </c>
      <c r="B19" s="21" t="s">
        <v>357</v>
      </c>
      <c r="C19" s="537">
        <f>SUM('3_Б'!D92:D93,'3_Б'!D95)</f>
        <v>3520</v>
      </c>
      <c r="D19" s="212">
        <v>1065</v>
      </c>
      <c r="E19" s="542">
        <f>SUM('3_В'!D92,'3_Б'!E92)</f>
        <v>27</v>
      </c>
      <c r="F19" s="212">
        <v>20</v>
      </c>
      <c r="G19" s="21">
        <f>SUM('3_Б'!F92:F93)</f>
        <v>145</v>
      </c>
      <c r="H19" s="21">
        <v>271</v>
      </c>
      <c r="I19" s="21">
        <f t="shared" si="1"/>
        <v>3692</v>
      </c>
      <c r="J19" s="447">
        <f t="shared" si="1"/>
        <v>1356</v>
      </c>
      <c r="L19" s="541"/>
    </row>
    <row r="20" spans="1:12">
      <c r="A20" s="446">
        <f t="shared" si="0"/>
        <v>9</v>
      </c>
      <c r="B20" s="21" t="s">
        <v>358</v>
      </c>
      <c r="C20" s="212">
        <v>67</v>
      </c>
      <c r="D20" s="212">
        <v>119</v>
      </c>
      <c r="E20" s="21"/>
      <c r="F20" s="21"/>
      <c r="G20" s="21"/>
      <c r="H20" s="21"/>
      <c r="I20" s="21">
        <f t="shared" si="1"/>
        <v>67</v>
      </c>
      <c r="J20" s="447">
        <f t="shared" si="1"/>
        <v>119</v>
      </c>
      <c r="L20" s="541"/>
    </row>
    <row r="21" spans="1:12">
      <c r="A21" s="446">
        <f t="shared" si="0"/>
        <v>10</v>
      </c>
      <c r="B21" s="21" t="s">
        <v>359</v>
      </c>
      <c r="C21" s="212">
        <v>86</v>
      </c>
      <c r="D21" s="212"/>
      <c r="E21" s="21"/>
      <c r="F21" s="21"/>
      <c r="G21" s="21"/>
      <c r="H21" s="21"/>
      <c r="I21" s="21">
        <f t="shared" si="1"/>
        <v>86</v>
      </c>
      <c r="J21" s="447">
        <f t="shared" si="1"/>
        <v>0</v>
      </c>
      <c r="L21" s="541"/>
    </row>
    <row r="22" spans="1:12">
      <c r="A22" s="446">
        <f t="shared" si="0"/>
        <v>11</v>
      </c>
      <c r="B22" s="21" t="s">
        <v>360</v>
      </c>
      <c r="C22" s="212"/>
      <c r="D22" s="212"/>
      <c r="E22" s="21"/>
      <c r="F22" s="21"/>
      <c r="G22" s="21"/>
      <c r="H22" s="21"/>
      <c r="I22" s="21">
        <f t="shared" si="1"/>
        <v>0</v>
      </c>
      <c r="J22" s="447">
        <f t="shared" si="1"/>
        <v>0</v>
      </c>
      <c r="L22" s="541"/>
    </row>
    <row r="23" spans="1:12">
      <c r="A23" s="446">
        <f t="shared" si="0"/>
        <v>12</v>
      </c>
      <c r="B23" s="21" t="s">
        <v>361</v>
      </c>
      <c r="C23" s="537">
        <f>+C19-C20-C21</f>
        <v>3367</v>
      </c>
      <c r="D23" s="212">
        <v>1065</v>
      </c>
      <c r="E23" s="21">
        <f>+E19</f>
        <v>27</v>
      </c>
      <c r="F23" s="21">
        <v>20</v>
      </c>
      <c r="G23" s="21">
        <f>+G19</f>
        <v>145</v>
      </c>
      <c r="H23" s="21">
        <v>271</v>
      </c>
      <c r="I23" s="21">
        <f t="shared" si="1"/>
        <v>3539</v>
      </c>
      <c r="J23" s="447">
        <f t="shared" si="1"/>
        <v>1356</v>
      </c>
      <c r="L23" s="541"/>
    </row>
    <row r="24" spans="1:12">
      <c r="A24" s="448">
        <f t="shared" si="0"/>
        <v>13</v>
      </c>
      <c r="B24" s="213" t="s">
        <v>142</v>
      </c>
      <c r="C24" s="543">
        <f>SUM(C14:C19)</f>
        <v>28047</v>
      </c>
      <c r="D24" s="543">
        <f t="shared" ref="D24:J24" si="2">SUM(D14:D19)</f>
        <v>25531</v>
      </c>
      <c r="E24" s="543">
        <f t="shared" si="2"/>
        <v>1076</v>
      </c>
      <c r="F24" s="543">
        <f t="shared" si="2"/>
        <v>1032</v>
      </c>
      <c r="G24" s="543">
        <f t="shared" si="2"/>
        <v>1531</v>
      </c>
      <c r="H24" s="543">
        <f t="shared" si="2"/>
        <v>1760</v>
      </c>
      <c r="I24" s="543">
        <f t="shared" si="2"/>
        <v>30654</v>
      </c>
      <c r="J24" s="581">
        <f t="shared" si="2"/>
        <v>28323</v>
      </c>
      <c r="L24" s="549">
        <f>'3_Б'!G96</f>
        <v>30654</v>
      </c>
    </row>
    <row r="25" spans="1:12">
      <c r="A25" s="446">
        <f t="shared" si="0"/>
        <v>14</v>
      </c>
      <c r="B25" s="21" t="s">
        <v>362</v>
      </c>
      <c r="C25" s="212"/>
      <c r="D25" s="212"/>
      <c r="E25" s="21"/>
      <c r="F25" s="21"/>
      <c r="G25" s="21"/>
      <c r="H25" s="21"/>
      <c r="I25" s="21">
        <f t="shared" ref="I25:J28" si="3">G25+E25+C25</f>
        <v>0</v>
      </c>
      <c r="J25" s="447">
        <f t="shared" si="3"/>
        <v>0</v>
      </c>
    </row>
    <row r="26" spans="1:12">
      <c r="A26" s="446">
        <f t="shared" si="0"/>
        <v>15</v>
      </c>
      <c r="B26" s="21" t="s">
        <v>143</v>
      </c>
      <c r="C26" s="212"/>
      <c r="D26" s="212"/>
      <c r="E26" s="21"/>
      <c r="F26" s="21"/>
      <c r="G26" s="21">
        <v>944</v>
      </c>
      <c r="H26" s="21">
        <v>62</v>
      </c>
      <c r="I26" s="21">
        <f t="shared" si="3"/>
        <v>944</v>
      </c>
      <c r="J26" s="447">
        <f t="shared" si="3"/>
        <v>62</v>
      </c>
    </row>
    <row r="27" spans="1:12">
      <c r="A27" s="446">
        <f t="shared" si="0"/>
        <v>16</v>
      </c>
      <c r="B27" s="21" t="s">
        <v>363</v>
      </c>
      <c r="C27" s="212">
        <v>-951</v>
      </c>
      <c r="D27" s="212">
        <v>-1049</v>
      </c>
      <c r="E27" s="21"/>
      <c r="F27" s="21"/>
      <c r="G27" s="212"/>
      <c r="H27" s="21"/>
      <c r="I27" s="21">
        <f t="shared" si="3"/>
        <v>-951</v>
      </c>
      <c r="J27" s="447">
        <f t="shared" si="3"/>
        <v>-1049</v>
      </c>
    </row>
    <row r="28" spans="1:12">
      <c r="A28" s="446">
        <f t="shared" si="0"/>
        <v>17</v>
      </c>
      <c r="B28" s="21" t="s">
        <v>364</v>
      </c>
      <c r="C28" s="212"/>
      <c r="D28" s="212"/>
      <c r="E28" s="21"/>
      <c r="F28" s="21"/>
      <c r="G28" s="21"/>
      <c r="H28" s="21"/>
      <c r="I28" s="21">
        <f t="shared" si="3"/>
        <v>0</v>
      </c>
      <c r="J28" s="447">
        <f t="shared" si="3"/>
        <v>0</v>
      </c>
    </row>
    <row r="29" spans="1:12">
      <c r="A29" s="448">
        <f t="shared" si="0"/>
        <v>18</v>
      </c>
      <c r="B29" s="213" t="s">
        <v>144</v>
      </c>
      <c r="C29" s="213">
        <f>SUM(C26:C28)</f>
        <v>-951</v>
      </c>
      <c r="D29" s="213">
        <f t="shared" ref="D29:J29" si="4">SUM(D26:D28)</f>
        <v>-1049</v>
      </c>
      <c r="E29" s="213">
        <f t="shared" si="4"/>
        <v>0</v>
      </c>
      <c r="F29" s="213">
        <f t="shared" si="4"/>
        <v>0</v>
      </c>
      <c r="G29" s="213">
        <f t="shared" si="4"/>
        <v>944</v>
      </c>
      <c r="H29" s="213">
        <f t="shared" si="4"/>
        <v>62</v>
      </c>
      <c r="I29" s="213">
        <f t="shared" si="4"/>
        <v>-7</v>
      </c>
      <c r="J29" s="449">
        <f t="shared" si="4"/>
        <v>-987</v>
      </c>
    </row>
    <row r="30" spans="1:12">
      <c r="A30" s="446">
        <f t="shared" si="0"/>
        <v>19</v>
      </c>
      <c r="B30" s="21" t="s">
        <v>365</v>
      </c>
      <c r="C30" s="212"/>
      <c r="D30" s="212"/>
      <c r="E30" s="21"/>
      <c r="F30" s="21"/>
      <c r="G30" s="21"/>
      <c r="H30" s="21"/>
      <c r="I30" s="21"/>
      <c r="J30" s="447"/>
    </row>
    <row r="31" spans="1:12">
      <c r="A31" s="446">
        <f t="shared" si="0"/>
        <v>20</v>
      </c>
      <c r="B31" s="21" t="s">
        <v>366</v>
      </c>
      <c r="C31" s="212">
        <v>281</v>
      </c>
      <c r="D31" s="212">
        <v>500</v>
      </c>
      <c r="E31" s="21"/>
      <c r="F31" s="21"/>
      <c r="G31" s="21"/>
      <c r="H31" s="21"/>
      <c r="I31" s="21">
        <f t="shared" ref="I31:J34" si="5">G31+E31+C31</f>
        <v>281</v>
      </c>
      <c r="J31" s="447">
        <f t="shared" si="5"/>
        <v>500</v>
      </c>
    </row>
    <row r="32" spans="1:12" ht="25.5" customHeight="1">
      <c r="A32" s="446">
        <f t="shared" si="0"/>
        <v>21</v>
      </c>
      <c r="B32" s="246" t="s">
        <v>367</v>
      </c>
      <c r="C32" s="212"/>
      <c r="D32" s="212"/>
      <c r="E32" s="21"/>
      <c r="F32" s="21"/>
      <c r="G32" s="21"/>
      <c r="H32" s="21"/>
      <c r="I32" s="21">
        <f t="shared" si="5"/>
        <v>0</v>
      </c>
      <c r="J32" s="447">
        <f t="shared" si="5"/>
        <v>0</v>
      </c>
    </row>
    <row r="33" spans="1:14">
      <c r="A33" s="446">
        <f t="shared" si="0"/>
        <v>22</v>
      </c>
      <c r="B33" s="21" t="s">
        <v>368</v>
      </c>
      <c r="C33" s="212">
        <v>3</v>
      </c>
      <c r="D33" s="212">
        <v>3</v>
      </c>
      <c r="E33" s="21"/>
      <c r="F33" s="21"/>
      <c r="G33" s="21"/>
      <c r="H33" s="21"/>
      <c r="I33" s="21">
        <f t="shared" si="5"/>
        <v>3</v>
      </c>
      <c r="J33" s="447">
        <f t="shared" si="5"/>
        <v>3</v>
      </c>
    </row>
    <row r="34" spans="1:14">
      <c r="A34" s="446">
        <f t="shared" si="0"/>
        <v>23</v>
      </c>
      <c r="B34" s="21" t="s">
        <v>369</v>
      </c>
      <c r="C34" s="212">
        <v>17</v>
      </c>
      <c r="D34" s="212">
        <v>10</v>
      </c>
      <c r="E34" s="21"/>
      <c r="F34" s="21"/>
      <c r="G34" s="21"/>
      <c r="H34" s="21"/>
      <c r="I34" s="21">
        <f t="shared" si="5"/>
        <v>17</v>
      </c>
      <c r="J34" s="447">
        <f t="shared" si="5"/>
        <v>10</v>
      </c>
    </row>
    <row r="35" spans="1:14">
      <c r="A35" s="448">
        <f t="shared" si="0"/>
        <v>24</v>
      </c>
      <c r="B35" s="213" t="s">
        <v>145</v>
      </c>
      <c r="C35" s="213">
        <f>SUM(C31:C34)</f>
        <v>301</v>
      </c>
      <c r="D35" s="213">
        <f t="shared" ref="D35:J35" si="6">SUM(D31:D34)</f>
        <v>513</v>
      </c>
      <c r="E35" s="213">
        <f t="shared" si="6"/>
        <v>0</v>
      </c>
      <c r="F35" s="213">
        <f t="shared" si="6"/>
        <v>0</v>
      </c>
      <c r="G35" s="213">
        <f t="shared" si="6"/>
        <v>0</v>
      </c>
      <c r="H35" s="213">
        <f t="shared" si="6"/>
        <v>0</v>
      </c>
      <c r="I35" s="213">
        <f t="shared" si="6"/>
        <v>301</v>
      </c>
      <c r="J35" s="449">
        <f t="shared" si="6"/>
        <v>513</v>
      </c>
    </row>
    <row r="36" spans="1:14">
      <c r="A36" s="451"/>
      <c r="B36" s="116"/>
      <c r="C36" s="116"/>
      <c r="D36" s="116"/>
      <c r="E36" s="103"/>
      <c r="F36" s="103"/>
      <c r="G36" s="103"/>
      <c r="H36" s="103"/>
      <c r="I36" s="103"/>
      <c r="J36" s="452"/>
    </row>
    <row r="37" spans="1:14">
      <c r="A37" s="446">
        <f>A35+1</f>
        <v>25</v>
      </c>
      <c r="B37" s="214" t="s">
        <v>146</v>
      </c>
      <c r="C37" s="214">
        <f>C35+C29+C24</f>
        <v>27397</v>
      </c>
      <c r="D37" s="214">
        <f t="shared" ref="D37:J37" si="7">D35+D29+D24</f>
        <v>24995</v>
      </c>
      <c r="E37" s="214">
        <f t="shared" si="7"/>
        <v>1076</v>
      </c>
      <c r="F37" s="214">
        <f t="shared" si="7"/>
        <v>1032</v>
      </c>
      <c r="G37" s="214">
        <f t="shared" si="7"/>
        <v>2475</v>
      </c>
      <c r="H37" s="214">
        <f t="shared" si="7"/>
        <v>1822</v>
      </c>
      <c r="I37" s="214">
        <f t="shared" si="7"/>
        <v>30948</v>
      </c>
      <c r="J37" s="453">
        <f t="shared" si="7"/>
        <v>27849</v>
      </c>
      <c r="K37" s="216"/>
      <c r="L37" s="516">
        <f>+M37-I37</f>
        <v>0</v>
      </c>
      <c r="M37" s="251">
        <f>31899+I27</f>
        <v>30948</v>
      </c>
      <c r="N37" s="251">
        <f>26400+J27</f>
        <v>25351</v>
      </c>
    </row>
    <row r="38" spans="1:14">
      <c r="A38" s="451"/>
      <c r="B38" s="102"/>
      <c r="C38" s="102"/>
      <c r="D38" s="102"/>
      <c r="E38" s="103"/>
      <c r="F38" s="103"/>
      <c r="G38" s="103"/>
      <c r="H38" s="103"/>
      <c r="I38" s="103"/>
      <c r="J38" s="452"/>
    </row>
    <row r="39" spans="1:14">
      <c r="A39" s="446">
        <f>A37+1</f>
        <v>26</v>
      </c>
      <c r="B39" s="214" t="s">
        <v>147</v>
      </c>
      <c r="C39" s="21">
        <f t="shared" ref="C39:H39" si="8">IF(C37&lt;C75,C75-C37,0)</f>
        <v>0</v>
      </c>
      <c r="D39" s="21">
        <f t="shared" si="8"/>
        <v>1058</v>
      </c>
      <c r="E39" s="21">
        <f t="shared" si="8"/>
        <v>0</v>
      </c>
      <c r="F39" s="21">
        <f t="shared" si="8"/>
        <v>0</v>
      </c>
      <c r="G39" s="21">
        <f t="shared" si="8"/>
        <v>0</v>
      </c>
      <c r="H39" s="21">
        <f t="shared" si="8"/>
        <v>3332</v>
      </c>
      <c r="I39" s="21">
        <f>IF(L77&lt;0,-L77,0)</f>
        <v>0</v>
      </c>
      <c r="J39" s="447">
        <f>IF(M77&lt;0,-M77,0)</f>
        <v>3509</v>
      </c>
    </row>
    <row r="40" spans="1:14">
      <c r="A40" s="446">
        <f t="shared" si="0"/>
        <v>27</v>
      </c>
      <c r="B40" s="212" t="s">
        <v>148</v>
      </c>
      <c r="C40" s="212"/>
      <c r="D40" s="212"/>
      <c r="E40" s="21"/>
      <c r="F40" s="21"/>
      <c r="G40" s="21"/>
      <c r="H40" s="21"/>
      <c r="I40" s="21"/>
      <c r="J40" s="447"/>
    </row>
    <row r="41" spans="1:14">
      <c r="A41" s="448">
        <f t="shared" si="0"/>
        <v>28</v>
      </c>
      <c r="B41" s="213" t="s">
        <v>149</v>
      </c>
      <c r="C41" s="213"/>
      <c r="D41" s="213"/>
      <c r="E41" s="10"/>
      <c r="F41" s="10"/>
      <c r="G41" s="10"/>
      <c r="H41" s="10"/>
      <c r="I41" s="10"/>
      <c r="J41" s="458"/>
    </row>
    <row r="42" spans="1:14">
      <c r="A42" s="448">
        <f t="shared" si="0"/>
        <v>29</v>
      </c>
      <c r="B42" s="184" t="s">
        <v>150</v>
      </c>
      <c r="C42" s="184">
        <f>C37+C39</f>
        <v>27397</v>
      </c>
      <c r="D42" s="184">
        <f t="shared" ref="D42:J42" si="9">D37+D39</f>
        <v>26053</v>
      </c>
      <c r="E42" s="184">
        <f t="shared" si="9"/>
        <v>1076</v>
      </c>
      <c r="F42" s="184">
        <f t="shared" si="9"/>
        <v>1032</v>
      </c>
      <c r="G42" s="184">
        <f t="shared" si="9"/>
        <v>2475</v>
      </c>
      <c r="H42" s="184">
        <f t="shared" si="9"/>
        <v>5154</v>
      </c>
      <c r="I42" s="184">
        <f t="shared" si="9"/>
        <v>30948</v>
      </c>
      <c r="J42" s="459">
        <f t="shared" si="9"/>
        <v>31358</v>
      </c>
    </row>
    <row r="43" spans="1:14">
      <c r="A43" s="451"/>
      <c r="B43" s="102"/>
      <c r="C43" s="102"/>
      <c r="D43" s="102"/>
      <c r="E43" s="103"/>
      <c r="F43" s="103"/>
      <c r="G43" s="103"/>
      <c r="H43" s="103"/>
      <c r="I43" s="103"/>
      <c r="J43" s="452"/>
    </row>
    <row r="44" spans="1:14">
      <c r="A44" s="448">
        <f>A42+1</f>
        <v>30</v>
      </c>
      <c r="B44" s="184" t="s">
        <v>151</v>
      </c>
      <c r="C44" s="184"/>
      <c r="D44" s="184"/>
      <c r="E44" s="10"/>
      <c r="F44" s="10"/>
      <c r="G44" s="10"/>
      <c r="H44" s="10"/>
      <c r="I44" s="10">
        <f>I39</f>
        <v>0</v>
      </c>
      <c r="J44" s="458">
        <f>IF(M77&lt;0,-M77,0)</f>
        <v>3509</v>
      </c>
    </row>
    <row r="45" spans="1:14">
      <c r="A45" s="446">
        <f t="shared" si="0"/>
        <v>31</v>
      </c>
      <c r="B45" s="21" t="s">
        <v>370</v>
      </c>
      <c r="C45" s="212"/>
      <c r="D45" s="212"/>
      <c r="E45" s="21"/>
      <c r="F45" s="21"/>
      <c r="G45" s="21"/>
      <c r="H45" s="21"/>
      <c r="I45" s="447">
        <f>G45+E45+C45</f>
        <v>0</v>
      </c>
      <c r="J45" s="447"/>
    </row>
    <row r="46" spans="1:14">
      <c r="A46" s="446">
        <f t="shared" si="0"/>
        <v>32</v>
      </c>
      <c r="B46" s="21" t="s">
        <v>371</v>
      </c>
      <c r="C46" s="212"/>
      <c r="D46" s="212"/>
      <c r="E46" s="21"/>
      <c r="F46" s="21"/>
      <c r="G46" s="21"/>
      <c r="H46" s="21"/>
      <c r="I46" s="447">
        <f>G46+E46+C46</f>
        <v>0</v>
      </c>
      <c r="J46" s="447"/>
    </row>
    <row r="47" spans="1:14">
      <c r="A47" s="446">
        <f t="shared" si="0"/>
        <v>33</v>
      </c>
      <c r="B47" s="21" t="s">
        <v>372</v>
      </c>
      <c r="C47" s="212">
        <v>-10</v>
      </c>
      <c r="D47" s="212">
        <v>-4</v>
      </c>
      <c r="E47" s="21"/>
      <c r="F47" s="21"/>
      <c r="G47" s="21"/>
      <c r="H47" s="21"/>
      <c r="I47" s="447">
        <f>G47+E47+C47</f>
        <v>-10</v>
      </c>
      <c r="J47" s="447">
        <f>H47+F47+D47</f>
        <v>-4</v>
      </c>
    </row>
    <row r="48" spans="1:14">
      <c r="A48" s="448">
        <f t="shared" si="0"/>
        <v>34</v>
      </c>
      <c r="B48" s="215" t="s">
        <v>152</v>
      </c>
      <c r="C48" s="161"/>
      <c r="D48" s="161"/>
      <c r="E48" s="161"/>
      <c r="F48" s="161"/>
      <c r="G48" s="161"/>
      <c r="H48" s="161"/>
      <c r="I48" s="10"/>
      <c r="J48" s="458">
        <f>H48+F48+D48</f>
        <v>0</v>
      </c>
    </row>
    <row r="49" spans="1:10" ht="13.5" thickBot="1">
      <c r="A49" s="460"/>
      <c r="B49" s="461"/>
      <c r="C49" s="461"/>
      <c r="D49" s="461"/>
      <c r="E49" s="462"/>
      <c r="F49" s="462"/>
      <c r="G49" s="462"/>
      <c r="H49" s="462"/>
      <c r="I49" s="462"/>
      <c r="J49" s="463"/>
    </row>
    <row r="50" spans="1:10" ht="13.5" thickBot="1">
      <c r="A50" s="42"/>
      <c r="B50" s="217" t="s">
        <v>153</v>
      </c>
      <c r="C50" s="217"/>
      <c r="D50" s="217"/>
      <c r="E50" s="217"/>
      <c r="F50" s="217"/>
      <c r="G50" s="217"/>
      <c r="H50" s="217"/>
      <c r="I50" s="22"/>
      <c r="J50" s="22">
        <f>J39-J48</f>
        <v>3509</v>
      </c>
    </row>
    <row r="51" spans="1:10" ht="13.5" thickTop="1">
      <c r="A51" s="89"/>
      <c r="B51" s="251"/>
      <c r="C51" s="251"/>
      <c r="D51" s="251"/>
      <c r="E51" s="89"/>
      <c r="F51" s="89"/>
      <c r="G51" s="89"/>
      <c r="H51" s="89"/>
      <c r="I51" s="89"/>
      <c r="J51" s="89"/>
    </row>
    <row r="52" spans="1:10" ht="13.5" thickBot="1">
      <c r="A52" s="89"/>
      <c r="B52" s="89"/>
      <c r="C52" s="89"/>
      <c r="D52" s="89"/>
      <c r="E52" s="89"/>
      <c r="F52" s="89"/>
      <c r="G52" s="89"/>
      <c r="H52" s="89"/>
      <c r="I52" s="89"/>
      <c r="J52" s="89"/>
    </row>
    <row r="53" spans="1:10">
      <c r="A53" s="437"/>
      <c r="B53" s="438"/>
      <c r="C53" s="615" t="s">
        <v>128</v>
      </c>
      <c r="D53" s="616"/>
      <c r="E53" s="615" t="s">
        <v>128</v>
      </c>
      <c r="F53" s="616"/>
      <c r="G53" s="615" t="s">
        <v>129</v>
      </c>
      <c r="H53" s="616"/>
      <c r="I53" s="615" t="s">
        <v>130</v>
      </c>
      <c r="J53" s="617"/>
    </row>
    <row r="54" spans="1:10">
      <c r="A54" s="439"/>
      <c r="B54" s="205" t="s">
        <v>154</v>
      </c>
      <c r="C54" s="606" t="s">
        <v>131</v>
      </c>
      <c r="D54" s="607"/>
      <c r="E54" s="606" t="s">
        <v>131</v>
      </c>
      <c r="F54" s="607"/>
      <c r="G54" s="606" t="s">
        <v>131</v>
      </c>
      <c r="H54" s="607"/>
      <c r="I54" s="606" t="s">
        <v>131</v>
      </c>
      <c r="J54" s="614"/>
    </row>
    <row r="55" spans="1:10">
      <c r="A55" s="440" t="s">
        <v>24</v>
      </c>
      <c r="B55" s="205" t="s">
        <v>132</v>
      </c>
      <c r="C55" s="166" t="s">
        <v>332</v>
      </c>
      <c r="D55" s="240"/>
      <c r="E55" s="166" t="s">
        <v>333</v>
      </c>
      <c r="F55" s="240"/>
      <c r="G55" s="205" t="s">
        <v>79</v>
      </c>
      <c r="H55" s="205" t="s">
        <v>78</v>
      </c>
      <c r="I55" s="205" t="s">
        <v>79</v>
      </c>
      <c r="J55" s="441" t="s">
        <v>78</v>
      </c>
    </row>
    <row r="56" spans="1:10">
      <c r="A56" s="440" t="s">
        <v>28</v>
      </c>
      <c r="B56" s="98"/>
      <c r="C56" s="205" t="s">
        <v>350</v>
      </c>
      <c r="D56" s="205" t="s">
        <v>351</v>
      </c>
      <c r="E56" s="205" t="s">
        <v>350</v>
      </c>
      <c r="F56" s="205" t="s">
        <v>351</v>
      </c>
      <c r="G56" s="205" t="s">
        <v>133</v>
      </c>
      <c r="H56" s="205" t="s">
        <v>133</v>
      </c>
      <c r="I56" s="205" t="s">
        <v>133</v>
      </c>
      <c r="J56" s="441" t="s">
        <v>133</v>
      </c>
    </row>
    <row r="57" spans="1:10" ht="13.5" thickBot="1">
      <c r="A57" s="442"/>
      <c r="B57" s="72"/>
      <c r="C57" s="207" t="s">
        <v>134</v>
      </c>
      <c r="D57" s="207" t="s">
        <v>135</v>
      </c>
      <c r="E57" s="207" t="s">
        <v>134</v>
      </c>
      <c r="F57" s="207" t="s">
        <v>135</v>
      </c>
      <c r="G57" s="207" t="s">
        <v>136</v>
      </c>
      <c r="H57" s="207" t="s">
        <v>137</v>
      </c>
      <c r="I57" s="207" t="s">
        <v>138</v>
      </c>
      <c r="J57" s="443" t="s">
        <v>139</v>
      </c>
    </row>
    <row r="58" spans="1:10" ht="13.5" thickTop="1">
      <c r="A58" s="444">
        <v>1</v>
      </c>
      <c r="B58" s="211" t="s">
        <v>155</v>
      </c>
      <c r="C58" s="94"/>
      <c r="D58" s="94"/>
      <c r="E58" s="94"/>
      <c r="F58" s="94"/>
      <c r="G58" s="18"/>
      <c r="H58" s="18"/>
      <c r="I58" s="18"/>
      <c r="J58" s="445"/>
    </row>
    <row r="59" spans="1:10">
      <c r="A59" s="446">
        <v>2</v>
      </c>
      <c r="B59" s="212" t="s">
        <v>156</v>
      </c>
      <c r="C59" s="212"/>
      <c r="D59" s="212"/>
      <c r="E59" s="21"/>
      <c r="F59" s="21"/>
      <c r="G59" s="21"/>
      <c r="H59" s="21"/>
      <c r="I59" s="21"/>
      <c r="J59" s="447"/>
    </row>
    <row r="60" spans="1:10">
      <c r="A60" s="446">
        <f>A59+1</f>
        <v>3</v>
      </c>
      <c r="B60" s="212" t="s">
        <v>157</v>
      </c>
      <c r="C60" s="537">
        <f>'6'!E16</f>
        <v>4171</v>
      </c>
      <c r="D60" s="537">
        <f>'6'!D14</f>
        <v>3774</v>
      </c>
      <c r="E60" s="21"/>
      <c r="F60" s="21"/>
      <c r="G60" s="21"/>
      <c r="H60" s="21"/>
      <c r="I60" s="21">
        <f>G60+E60+C60</f>
        <v>4171</v>
      </c>
      <c r="J60" s="447">
        <f>H60+F60+D60</f>
        <v>3774</v>
      </c>
    </row>
    <row r="61" spans="1:10">
      <c r="A61" s="446">
        <v>4</v>
      </c>
      <c r="B61" s="212" t="s">
        <v>158</v>
      </c>
      <c r="C61" s="537">
        <f>'6'!E22</f>
        <v>4195</v>
      </c>
      <c r="D61" s="537">
        <f>'6'!D22</f>
        <v>4140</v>
      </c>
      <c r="E61" s="21"/>
      <c r="F61" s="21"/>
      <c r="G61" s="21"/>
      <c r="H61" s="21"/>
      <c r="I61" s="21">
        <f t="shared" ref="I61:I67" si="10">G61+E61+C61</f>
        <v>4195</v>
      </c>
      <c r="J61" s="447">
        <f t="shared" ref="J61:J67" si="11">H61+F61+D61</f>
        <v>4140</v>
      </c>
    </row>
    <row r="62" spans="1:10">
      <c r="A62" s="446"/>
      <c r="B62" s="212" t="s">
        <v>374</v>
      </c>
      <c r="C62" s="537">
        <f>'6'!E27</f>
        <v>13788</v>
      </c>
      <c r="D62" s="537">
        <f>'6'!D27</f>
        <v>17526</v>
      </c>
      <c r="E62" s="21"/>
      <c r="F62" s="21"/>
      <c r="G62" s="21"/>
      <c r="H62" s="21"/>
      <c r="I62" s="21">
        <f t="shared" si="10"/>
        <v>13788</v>
      </c>
      <c r="J62" s="447">
        <f t="shared" si="11"/>
        <v>17526</v>
      </c>
    </row>
    <row r="63" spans="1:10">
      <c r="A63" s="446">
        <v>5</v>
      </c>
      <c r="B63" s="212" t="s">
        <v>373</v>
      </c>
      <c r="C63" s="212">
        <v>75</v>
      </c>
      <c r="D63" s="212">
        <v>37</v>
      </c>
      <c r="E63" s="21"/>
      <c r="F63" s="21"/>
      <c r="G63" s="21"/>
      <c r="H63" s="21"/>
      <c r="I63" s="21">
        <f t="shared" si="10"/>
        <v>75</v>
      </c>
      <c r="J63" s="447">
        <f t="shared" si="11"/>
        <v>37</v>
      </c>
    </row>
    <row r="64" spans="1:10">
      <c r="A64" s="446">
        <v>6</v>
      </c>
      <c r="B64" s="212" t="s">
        <v>375</v>
      </c>
      <c r="C64" s="212"/>
      <c r="D64" s="212"/>
      <c r="E64" s="21"/>
      <c r="F64" s="21"/>
      <c r="G64" s="21">
        <f>1276+30</f>
        <v>1306</v>
      </c>
      <c r="H64" s="21">
        <v>430</v>
      </c>
      <c r="I64" s="21">
        <f t="shared" si="10"/>
        <v>1306</v>
      </c>
      <c r="J64" s="447">
        <f t="shared" si="11"/>
        <v>430</v>
      </c>
    </row>
    <row r="65" spans="1:13">
      <c r="A65" s="446">
        <v>7</v>
      </c>
      <c r="B65" s="212" t="s">
        <v>414</v>
      </c>
      <c r="C65" s="212"/>
      <c r="D65" s="212"/>
      <c r="E65" s="21">
        <v>147</v>
      </c>
      <c r="F65" s="21">
        <v>142</v>
      </c>
      <c r="G65" s="21">
        <v>259</v>
      </c>
      <c r="H65" s="21">
        <v>277</v>
      </c>
      <c r="I65" s="21">
        <f t="shared" si="10"/>
        <v>406</v>
      </c>
      <c r="J65" s="447">
        <f t="shared" si="11"/>
        <v>419</v>
      </c>
    </row>
    <row r="66" spans="1:13">
      <c r="A66" s="446">
        <f t="shared" ref="A66:A79" si="12">A65+1</f>
        <v>8</v>
      </c>
      <c r="B66" s="212" t="s">
        <v>473</v>
      </c>
      <c r="C66" s="212">
        <f>183-E66</f>
        <v>183</v>
      </c>
      <c r="D66" s="212">
        <v>70</v>
      </c>
      <c r="E66" s="21"/>
      <c r="F66" s="21"/>
      <c r="G66" s="21"/>
      <c r="H66" s="21"/>
      <c r="I66" s="21">
        <f t="shared" si="10"/>
        <v>183</v>
      </c>
      <c r="J66" s="447">
        <f t="shared" si="11"/>
        <v>70</v>
      </c>
    </row>
    <row r="67" spans="1:13">
      <c r="A67" s="446">
        <f t="shared" si="12"/>
        <v>9</v>
      </c>
      <c r="B67" s="212" t="s">
        <v>376</v>
      </c>
      <c r="C67" s="537">
        <v>1081</v>
      </c>
      <c r="D67" s="212">
        <v>478</v>
      </c>
      <c r="E67" s="21"/>
      <c r="F67" s="21"/>
      <c r="G67" s="21">
        <v>40</v>
      </c>
      <c r="H67" s="21">
        <v>4447</v>
      </c>
      <c r="I67" s="21">
        <f t="shared" si="10"/>
        <v>1121</v>
      </c>
      <c r="J67" s="447">
        <f t="shared" si="11"/>
        <v>4925</v>
      </c>
    </row>
    <row r="68" spans="1:13">
      <c r="A68" s="448">
        <f t="shared" si="12"/>
        <v>10</v>
      </c>
      <c r="B68" s="213" t="s">
        <v>142</v>
      </c>
      <c r="C68" s="213">
        <f>SUM(C60:C67)</f>
        <v>23493</v>
      </c>
      <c r="D68" s="213">
        <f t="shared" ref="D68:J68" si="13">SUM(D60:D67)</f>
        <v>26025</v>
      </c>
      <c r="E68" s="213">
        <f t="shared" si="13"/>
        <v>147</v>
      </c>
      <c r="F68" s="213">
        <f t="shared" si="13"/>
        <v>142</v>
      </c>
      <c r="G68" s="213">
        <f t="shared" si="13"/>
        <v>1605</v>
      </c>
      <c r="H68" s="213">
        <f t="shared" si="13"/>
        <v>5154</v>
      </c>
      <c r="I68" s="213">
        <f t="shared" si="13"/>
        <v>25245</v>
      </c>
      <c r="J68" s="449">
        <f t="shared" si="13"/>
        <v>31321</v>
      </c>
    </row>
    <row r="69" spans="1:13">
      <c r="A69" s="446">
        <f t="shared" si="12"/>
        <v>11</v>
      </c>
      <c r="B69" s="212" t="s">
        <v>159</v>
      </c>
      <c r="C69" s="212"/>
      <c r="D69" s="212"/>
      <c r="E69" s="21">
        <v>2</v>
      </c>
      <c r="F69" s="21">
        <v>9</v>
      </c>
      <c r="G69" s="21"/>
      <c r="H69" s="21"/>
      <c r="I69" s="21">
        <f>G69+E69+C69</f>
        <v>2</v>
      </c>
      <c r="J69" s="449">
        <f>H69+F69+D69</f>
        <v>9</v>
      </c>
    </row>
    <row r="70" spans="1:13">
      <c r="A70" s="448">
        <f t="shared" si="12"/>
        <v>12</v>
      </c>
      <c r="B70" s="213" t="s">
        <v>144</v>
      </c>
      <c r="C70" s="213">
        <f>SUM(C69)</f>
        <v>0</v>
      </c>
      <c r="D70" s="213">
        <f t="shared" ref="D70:I70" si="14">SUM(D69)</f>
        <v>0</v>
      </c>
      <c r="E70" s="213">
        <f t="shared" si="14"/>
        <v>2</v>
      </c>
      <c r="F70" s="213">
        <f t="shared" si="14"/>
        <v>9</v>
      </c>
      <c r="G70" s="213">
        <f t="shared" si="14"/>
        <v>0</v>
      </c>
      <c r="H70" s="213">
        <f t="shared" si="14"/>
        <v>0</v>
      </c>
      <c r="I70" s="213">
        <f t="shared" si="14"/>
        <v>2</v>
      </c>
      <c r="J70" s="449">
        <f>H70+F70+D70</f>
        <v>9</v>
      </c>
    </row>
    <row r="71" spans="1:13">
      <c r="A71" s="446">
        <f t="shared" si="12"/>
        <v>13</v>
      </c>
      <c r="B71" s="247" t="s">
        <v>377</v>
      </c>
      <c r="C71" s="212"/>
      <c r="D71" s="212"/>
      <c r="E71" s="21"/>
      <c r="F71" s="21"/>
      <c r="G71" s="21"/>
      <c r="H71" s="21"/>
      <c r="I71" s="21"/>
      <c r="J71" s="447">
        <f>H71+F71+D71</f>
        <v>0</v>
      </c>
    </row>
    <row r="72" spans="1:13">
      <c r="A72" s="446">
        <f t="shared" si="12"/>
        <v>14</v>
      </c>
      <c r="B72" s="247" t="s">
        <v>378</v>
      </c>
      <c r="C72" s="212">
        <v>33</v>
      </c>
      <c r="D72" s="212">
        <v>25</v>
      </c>
      <c r="E72" s="21"/>
      <c r="F72" s="21"/>
      <c r="G72" s="21"/>
      <c r="H72" s="21"/>
      <c r="I72" s="21">
        <f>G72+E72+C72</f>
        <v>33</v>
      </c>
      <c r="J72" s="447">
        <f>H72+F72+D72</f>
        <v>25</v>
      </c>
    </row>
    <row r="73" spans="1:13">
      <c r="A73" s="446">
        <f t="shared" si="12"/>
        <v>15</v>
      </c>
      <c r="B73" s="247" t="s">
        <v>379</v>
      </c>
      <c r="C73" s="212"/>
      <c r="D73" s="212">
        <v>3</v>
      </c>
      <c r="E73" s="21"/>
      <c r="F73" s="21"/>
      <c r="G73" s="21"/>
      <c r="H73" s="21"/>
      <c r="I73" s="21">
        <f>G73+E73+C73</f>
        <v>0</v>
      </c>
      <c r="J73" s="447">
        <f>H73+F73+D73</f>
        <v>3</v>
      </c>
    </row>
    <row r="74" spans="1:13">
      <c r="A74" s="446">
        <f t="shared" si="12"/>
        <v>16</v>
      </c>
      <c r="B74" s="215" t="s">
        <v>145</v>
      </c>
      <c r="C74" s="213">
        <f>SUM(C72:C73)</f>
        <v>33</v>
      </c>
      <c r="D74" s="213">
        <f t="shared" ref="D74:J74" si="15">SUM(D72:D73)</f>
        <v>28</v>
      </c>
      <c r="E74" s="213">
        <f t="shared" si="15"/>
        <v>0</v>
      </c>
      <c r="F74" s="213">
        <f t="shared" si="15"/>
        <v>0</v>
      </c>
      <c r="G74" s="213">
        <f t="shared" si="15"/>
        <v>0</v>
      </c>
      <c r="H74" s="213">
        <f t="shared" si="15"/>
        <v>0</v>
      </c>
      <c r="I74" s="213">
        <f t="shared" si="15"/>
        <v>33</v>
      </c>
      <c r="J74" s="213">
        <f t="shared" si="15"/>
        <v>28</v>
      </c>
      <c r="L74" s="577">
        <f>+I74+I69+I68-I27-L76</f>
        <v>0</v>
      </c>
      <c r="M74" s="551"/>
    </row>
    <row r="75" spans="1:13">
      <c r="A75" s="446">
        <f t="shared" si="12"/>
        <v>17</v>
      </c>
      <c r="B75" s="216" t="s">
        <v>160</v>
      </c>
      <c r="C75" s="216">
        <f>C68+C70+C74</f>
        <v>23526</v>
      </c>
      <c r="D75" s="216">
        <f t="shared" ref="D75:J75" si="16">D68+D70+D74</f>
        <v>26053</v>
      </c>
      <c r="E75" s="216">
        <f t="shared" si="16"/>
        <v>149</v>
      </c>
      <c r="F75" s="216">
        <f t="shared" si="16"/>
        <v>151</v>
      </c>
      <c r="G75" s="216">
        <f t="shared" si="16"/>
        <v>1605</v>
      </c>
      <c r="H75" s="216">
        <f t="shared" si="16"/>
        <v>5154</v>
      </c>
      <c r="I75" s="216">
        <f t="shared" si="16"/>
        <v>25280</v>
      </c>
      <c r="J75" s="450">
        <f t="shared" si="16"/>
        <v>31358</v>
      </c>
      <c r="L75">
        <f>26198+33-951</f>
        <v>25280</v>
      </c>
    </row>
    <row r="76" spans="1:13">
      <c r="A76" s="451"/>
      <c r="B76" s="117"/>
      <c r="C76" s="117"/>
      <c r="D76" s="117"/>
      <c r="E76" s="103"/>
      <c r="F76" s="103"/>
      <c r="G76" s="103"/>
      <c r="H76" s="103"/>
      <c r="I76" s="103"/>
      <c r="J76" s="452"/>
      <c r="L76">
        <f>26198+33</f>
        <v>26231</v>
      </c>
    </row>
    <row r="77" spans="1:13">
      <c r="A77" s="446">
        <f>A75+1</f>
        <v>18</v>
      </c>
      <c r="B77" s="216" t="s">
        <v>161</v>
      </c>
      <c r="C77" s="21">
        <f t="shared" ref="C77:J77" si="17">IF(C75&lt;C37,C37-C75,0)</f>
        <v>3871</v>
      </c>
      <c r="D77" s="21">
        <f t="shared" si="17"/>
        <v>0</v>
      </c>
      <c r="E77" s="21">
        <f t="shared" si="17"/>
        <v>927</v>
      </c>
      <c r="F77" s="21">
        <f t="shared" si="17"/>
        <v>881</v>
      </c>
      <c r="G77" s="21">
        <f t="shared" si="17"/>
        <v>870</v>
      </c>
      <c r="H77" s="21">
        <f t="shared" si="17"/>
        <v>0</v>
      </c>
      <c r="I77" s="21">
        <f>IF(I75&lt;I37,I37-I75,0)</f>
        <v>5668</v>
      </c>
      <c r="J77" s="21">
        <f t="shared" si="17"/>
        <v>0</v>
      </c>
      <c r="L77">
        <f>SUM(C77,E77,G77,-C39,-E39,-G39)</f>
        <v>5668</v>
      </c>
      <c r="M77">
        <f>SUM(D77,F77,H77,-D39,-F39,-H39)</f>
        <v>-3509</v>
      </c>
    </row>
    <row r="78" spans="1:13">
      <c r="A78" s="446">
        <f t="shared" si="12"/>
        <v>19</v>
      </c>
      <c r="B78" s="212" t="s">
        <v>162</v>
      </c>
      <c r="C78" s="212"/>
      <c r="D78" s="212"/>
      <c r="E78" s="21"/>
      <c r="F78" s="21"/>
      <c r="G78" s="21"/>
      <c r="H78" s="21"/>
      <c r="I78" s="21">
        <f>G78+E78+C78</f>
        <v>0</v>
      </c>
      <c r="J78" s="447">
        <f>H78+F78+D78</f>
        <v>0</v>
      </c>
    </row>
    <row r="79" spans="1:13">
      <c r="A79" s="446">
        <f t="shared" si="12"/>
        <v>20</v>
      </c>
      <c r="B79" s="214" t="s">
        <v>163</v>
      </c>
      <c r="C79" s="214">
        <f>C75+C78</f>
        <v>23526</v>
      </c>
      <c r="D79" s="214">
        <f t="shared" ref="D79:J79" si="18">D75+D78</f>
        <v>26053</v>
      </c>
      <c r="E79" s="214">
        <f t="shared" si="18"/>
        <v>149</v>
      </c>
      <c r="F79" s="214">
        <f t="shared" si="18"/>
        <v>151</v>
      </c>
      <c r="G79" s="214">
        <f t="shared" si="18"/>
        <v>1605</v>
      </c>
      <c r="H79" s="214">
        <f t="shared" si="18"/>
        <v>5154</v>
      </c>
      <c r="I79" s="214">
        <f t="shared" si="18"/>
        <v>25280</v>
      </c>
      <c r="J79" s="214">
        <f t="shared" si="18"/>
        <v>31358</v>
      </c>
      <c r="L79" s="516">
        <f>+L77-L78</f>
        <v>5668</v>
      </c>
      <c r="M79" s="328">
        <v>25280</v>
      </c>
    </row>
    <row r="80" spans="1:13">
      <c r="A80" s="451"/>
      <c r="B80" s="102"/>
      <c r="C80" s="102"/>
      <c r="D80" s="102"/>
      <c r="E80" s="103"/>
      <c r="F80" s="103"/>
      <c r="G80" s="103"/>
      <c r="H80" s="103"/>
      <c r="I80" s="103"/>
      <c r="J80" s="452"/>
      <c r="M80">
        <f>I27</f>
        <v>-951</v>
      </c>
    </row>
    <row r="81" spans="1:13">
      <c r="A81" s="446">
        <f>A79+1</f>
        <v>21</v>
      </c>
      <c r="B81" s="214" t="s">
        <v>164</v>
      </c>
      <c r="C81" s="214">
        <f t="shared" ref="C81:I81" si="19">C77-C78</f>
        <v>3871</v>
      </c>
      <c r="D81" s="214">
        <f t="shared" si="19"/>
        <v>0</v>
      </c>
      <c r="E81" s="214">
        <f t="shared" si="19"/>
        <v>927</v>
      </c>
      <c r="F81" s="214">
        <f t="shared" si="19"/>
        <v>881</v>
      </c>
      <c r="G81" s="214">
        <f t="shared" si="19"/>
        <v>870</v>
      </c>
      <c r="H81" s="214">
        <f t="shared" si="19"/>
        <v>0</v>
      </c>
      <c r="I81" s="214">
        <f t="shared" si="19"/>
        <v>5668</v>
      </c>
      <c r="J81" s="447">
        <f>J77</f>
        <v>0</v>
      </c>
      <c r="L81" s="516">
        <f>I79-M81</f>
        <v>951</v>
      </c>
      <c r="M81">
        <f>SUM(M79:M80)</f>
        <v>24329</v>
      </c>
    </row>
    <row r="82" spans="1:13">
      <c r="A82" s="451"/>
      <c r="B82" s="102"/>
      <c r="C82" s="102"/>
      <c r="D82" s="102"/>
      <c r="E82" s="103"/>
      <c r="F82" s="103"/>
      <c r="G82" s="103"/>
      <c r="H82" s="103"/>
      <c r="I82" s="103"/>
      <c r="J82" s="452"/>
      <c r="L82">
        <f>I83-M82-I44</f>
        <v>0</v>
      </c>
      <c r="M82" s="328">
        <v>5658</v>
      </c>
    </row>
    <row r="83" spans="1:13" ht="13.5" thickBot="1">
      <c r="A83" s="454">
        <f>A81+1</f>
        <v>22</v>
      </c>
      <c r="B83" s="455" t="s">
        <v>165</v>
      </c>
      <c r="C83" s="457">
        <f>C81+C47</f>
        <v>3861</v>
      </c>
      <c r="D83" s="455"/>
      <c r="E83" s="456"/>
      <c r="F83" s="456"/>
      <c r="G83" s="456"/>
      <c r="H83" s="456"/>
      <c r="I83" s="457">
        <f>I81+I47</f>
        <v>5658</v>
      </c>
      <c r="J83" s="457">
        <f>J81+J47</f>
        <v>-4</v>
      </c>
    </row>
    <row r="84" spans="1:13">
      <c r="A84" s="94"/>
      <c r="B84" s="94"/>
      <c r="C84" s="94"/>
      <c r="D84" s="94"/>
      <c r="E84" s="94"/>
      <c r="F84" s="94"/>
      <c r="G84" s="94"/>
      <c r="H84" s="94"/>
      <c r="I84" s="94"/>
      <c r="J84" s="94"/>
    </row>
    <row r="85" spans="1:13">
      <c r="B85" s="182" t="s">
        <v>34</v>
      </c>
      <c r="C85" s="182"/>
      <c r="D85" s="182"/>
      <c r="E85" s="48"/>
      <c r="F85" s="5"/>
      <c r="G85" s="5"/>
      <c r="H85" s="165" t="s">
        <v>46</v>
      </c>
      <c r="I85" s="48"/>
    </row>
    <row r="86" spans="1:13">
      <c r="B86" s="49"/>
      <c r="C86" s="49"/>
      <c r="D86" s="49"/>
      <c r="F86" s="164" t="s">
        <v>36</v>
      </c>
    </row>
    <row r="87" spans="1:13">
      <c r="B87" s="4"/>
      <c r="C87" s="4"/>
      <c r="D87" s="4"/>
    </row>
    <row r="88" spans="1:13">
      <c r="B88" s="182" t="s">
        <v>37</v>
      </c>
      <c r="C88" s="182"/>
      <c r="D88" s="182"/>
      <c r="E88" s="48"/>
      <c r="F88" s="5"/>
      <c r="G88" s="5"/>
      <c r="H88" s="165" t="s">
        <v>35</v>
      </c>
      <c r="I88" s="48"/>
    </row>
    <row r="89" spans="1:13">
      <c r="B89" s="49"/>
      <c r="C89" s="49"/>
      <c r="D89" s="49"/>
      <c r="F89" s="164" t="s">
        <v>36</v>
      </c>
    </row>
  </sheetData>
  <mergeCells count="20">
    <mergeCell ref="A1:J1"/>
    <mergeCell ref="A2:J2"/>
    <mergeCell ref="A4:J4"/>
    <mergeCell ref="A5:J5"/>
    <mergeCell ref="C8:D8"/>
    <mergeCell ref="E8:F8"/>
    <mergeCell ref="G8:H8"/>
    <mergeCell ref="I8:J8"/>
    <mergeCell ref="C7:D7"/>
    <mergeCell ref="E7:F7"/>
    <mergeCell ref="G7:H7"/>
    <mergeCell ref="I7:J7"/>
    <mergeCell ref="C54:D54"/>
    <mergeCell ref="E54:F54"/>
    <mergeCell ref="G54:H54"/>
    <mergeCell ref="I54:J54"/>
    <mergeCell ref="C53:D53"/>
    <mergeCell ref="E53:F53"/>
    <mergeCell ref="G53:H53"/>
    <mergeCell ref="I53:J53"/>
  </mergeCells>
  <phoneticPr fontId="2" type="noConversion"/>
  <pageMargins left="0.2" right="0.26" top="0.39370078740157483" bottom="0.39370078740157483" header="0.51181102362204722" footer="0.51181102362204722"/>
  <pageSetup scale="73" orientation="landscape" r:id="rId1"/>
  <headerFooter alignWithMargins="0"/>
  <rowBreaks count="1" manualBreakCount="1"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E34"/>
  <sheetViews>
    <sheetView topLeftCell="A4" workbookViewId="0">
      <selection activeCell="D35" sqref="D35"/>
    </sheetView>
  </sheetViews>
  <sheetFormatPr defaultRowHeight="12.75"/>
  <cols>
    <col min="2" max="2" width="26" customWidth="1"/>
    <col min="3" max="3" width="20.140625" customWidth="1"/>
    <col min="4" max="4" width="16.28515625" customWidth="1"/>
  </cols>
  <sheetData>
    <row r="1" spans="1:5">
      <c r="A1" s="612" t="s">
        <v>420</v>
      </c>
      <c r="B1" s="612"/>
      <c r="C1" s="612"/>
      <c r="D1" s="612"/>
      <c r="E1" s="612"/>
    </row>
    <row r="2" spans="1:5">
      <c r="A2" s="612" t="s">
        <v>471</v>
      </c>
      <c r="B2" s="612"/>
      <c r="C2" s="612"/>
      <c r="D2" s="612"/>
      <c r="E2" s="254"/>
    </row>
    <row r="3" spans="1:5" ht="42.75" customHeight="1">
      <c r="A3" s="620" t="s">
        <v>256</v>
      </c>
      <c r="B3" s="621"/>
      <c r="C3" s="621"/>
      <c r="D3" s="621"/>
    </row>
    <row r="5" spans="1:5">
      <c r="A5" s="620" t="s">
        <v>102</v>
      </c>
      <c r="B5" s="622"/>
      <c r="C5" s="622"/>
      <c r="D5" s="622"/>
    </row>
    <row r="6" spans="1:5" ht="13.5" thickBot="1"/>
    <row r="7" spans="1:5" ht="13.5" thickTop="1">
      <c r="A7" s="121"/>
      <c r="B7" s="122"/>
      <c r="C7" s="123"/>
      <c r="D7" s="123"/>
    </row>
    <row r="8" spans="1:5">
      <c r="A8" s="185" t="s">
        <v>24</v>
      </c>
      <c r="B8" s="623" t="s">
        <v>77</v>
      </c>
      <c r="C8" s="624"/>
      <c r="D8" s="157" t="s">
        <v>133</v>
      </c>
    </row>
    <row r="9" spans="1:5">
      <c r="A9" s="185" t="s">
        <v>28</v>
      </c>
      <c r="B9" s="124"/>
      <c r="C9" s="125"/>
      <c r="D9" s="186" t="s">
        <v>80</v>
      </c>
    </row>
    <row r="10" spans="1:5" ht="13.5" thickBot="1">
      <c r="A10" s="126"/>
      <c r="B10" s="127"/>
      <c r="C10" s="128"/>
      <c r="D10" s="187" t="s">
        <v>30</v>
      </c>
    </row>
    <row r="11" spans="1:5" ht="13.5" thickTop="1">
      <c r="A11" s="129"/>
      <c r="B11" s="188" t="s">
        <v>103</v>
      </c>
      <c r="C11" s="125"/>
      <c r="D11" s="130"/>
    </row>
    <row r="12" spans="1:5">
      <c r="A12" s="131">
        <v>1</v>
      </c>
      <c r="B12" s="189" t="s">
        <v>104</v>
      </c>
      <c r="C12" s="132"/>
      <c r="D12" s="333">
        <f>'3_Б'!D48</f>
        <v>26588</v>
      </c>
    </row>
    <row r="13" spans="1:5">
      <c r="A13" s="131">
        <v>2</v>
      </c>
      <c r="B13" s="189" t="s">
        <v>396</v>
      </c>
      <c r="C13" s="132"/>
      <c r="D13" s="333">
        <f>'3_Б'!D76</f>
        <v>1306</v>
      </c>
    </row>
    <row r="14" spans="1:5">
      <c r="A14" s="131">
        <v>3</v>
      </c>
      <c r="B14" s="189" t="s">
        <v>32</v>
      </c>
      <c r="C14" s="132"/>
      <c r="D14" s="133"/>
    </row>
    <row r="15" spans="1:5">
      <c r="A15" s="131">
        <v>4</v>
      </c>
      <c r="B15" s="189" t="s">
        <v>105</v>
      </c>
      <c r="C15" s="132"/>
      <c r="D15" s="133">
        <f>SUM(D12:D14)</f>
        <v>27894</v>
      </c>
    </row>
    <row r="16" spans="1:5">
      <c r="A16" s="129"/>
      <c r="B16" s="124"/>
      <c r="C16" s="125"/>
      <c r="D16" s="130"/>
    </row>
    <row r="17" spans="1:4">
      <c r="A17" s="129"/>
      <c r="B17" s="188" t="s">
        <v>397</v>
      </c>
      <c r="C17" s="125"/>
      <c r="D17" s="130"/>
    </row>
    <row r="18" spans="1:4">
      <c r="A18" s="131">
        <v>5</v>
      </c>
      <c r="B18" s="189" t="s">
        <v>104</v>
      </c>
      <c r="C18" s="132"/>
      <c r="D18" s="333">
        <f>'3_В'!D45</f>
        <v>971</v>
      </c>
    </row>
    <row r="19" spans="1:4">
      <c r="A19" s="131">
        <v>6</v>
      </c>
      <c r="B19" s="189" t="s">
        <v>289</v>
      </c>
      <c r="C19" s="132"/>
      <c r="D19" s="133">
        <f>'3_В'!D73</f>
        <v>105</v>
      </c>
    </row>
    <row r="20" spans="1:4">
      <c r="A20" s="131">
        <v>7</v>
      </c>
      <c r="B20" s="189" t="s">
        <v>32</v>
      </c>
      <c r="C20" s="132"/>
      <c r="D20" s="133"/>
    </row>
    <row r="21" spans="1:4">
      <c r="A21" s="131">
        <v>8</v>
      </c>
      <c r="B21" s="189" t="s">
        <v>106</v>
      </c>
      <c r="C21" s="132"/>
      <c r="D21" s="133">
        <f>SUM(D18:D20)</f>
        <v>1076</v>
      </c>
    </row>
    <row r="22" spans="1:4">
      <c r="A22" s="129"/>
      <c r="B22" s="124"/>
      <c r="C22" s="125"/>
      <c r="D22" s="130"/>
    </row>
    <row r="23" spans="1:4">
      <c r="A23" s="131">
        <v>9</v>
      </c>
      <c r="B23" s="190" t="s">
        <v>102</v>
      </c>
      <c r="C23" s="132"/>
      <c r="D23" s="133">
        <f>SUM(D15,D21)</f>
        <v>28970</v>
      </c>
    </row>
    <row r="24" spans="1:4" ht="13.5" thickBot="1">
      <c r="A24" s="134"/>
      <c r="B24" s="127"/>
      <c r="C24" s="128"/>
      <c r="D24" s="135"/>
    </row>
    <row r="25" spans="1:4" ht="13.5" thickTop="1"/>
    <row r="26" spans="1:4">
      <c r="A26" s="88"/>
      <c r="B26" s="136"/>
      <c r="C26" s="89"/>
      <c r="D26" s="89"/>
    </row>
    <row r="27" spans="1:4">
      <c r="A27" s="162" t="s">
        <v>34</v>
      </c>
      <c r="B27" s="47"/>
      <c r="C27" s="2"/>
      <c r="D27" s="2"/>
    </row>
    <row r="28" spans="1:4">
      <c r="A28" s="47"/>
      <c r="B28" s="48"/>
      <c r="C28" s="165" t="s">
        <v>35</v>
      </c>
      <c r="D28" s="48"/>
    </row>
    <row r="29" spans="1:4">
      <c r="A29" s="1"/>
      <c r="B29" s="164" t="s">
        <v>36</v>
      </c>
    </row>
    <row r="30" spans="1:4">
      <c r="A30" s="1"/>
      <c r="B30" s="16"/>
    </row>
    <row r="31" spans="1:4">
      <c r="A31" s="163" t="s">
        <v>37</v>
      </c>
      <c r="B31" s="2"/>
      <c r="C31" s="2"/>
      <c r="D31" s="2"/>
    </row>
    <row r="32" spans="1:4">
      <c r="A32" s="47"/>
      <c r="B32" s="48"/>
      <c r="C32" s="165" t="s">
        <v>35</v>
      </c>
      <c r="D32" s="48"/>
    </row>
    <row r="33" spans="1:4">
      <c r="A33" s="88"/>
      <c r="B33" s="164" t="s">
        <v>36</v>
      </c>
    </row>
    <row r="34" spans="1:4">
      <c r="A34" s="88"/>
      <c r="B34" s="89"/>
      <c r="C34" s="89"/>
      <c r="D34" s="89"/>
    </row>
  </sheetData>
  <mergeCells count="5">
    <mergeCell ref="A3:D3"/>
    <mergeCell ref="A5:D5"/>
    <mergeCell ref="B8:C8"/>
    <mergeCell ref="A1:E1"/>
    <mergeCell ref="A2:D2"/>
  </mergeCells>
  <phoneticPr fontId="2" type="noConversion"/>
  <printOptions horizontalCentered="1"/>
  <pageMargins left="0.75" right="0.75" top="0.88" bottom="1" header="0.9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D132"/>
  <sheetViews>
    <sheetView workbookViewId="0">
      <pane xSplit="3" ySplit="2" topLeftCell="U14" activePane="bottomRight" state="frozen"/>
      <selection pane="topRight" activeCell="D1" sqref="D1"/>
      <selection pane="bottomLeft" activeCell="A3" sqref="A3"/>
      <selection pane="bottomRight" activeCell="U25" sqref="U25"/>
    </sheetView>
  </sheetViews>
  <sheetFormatPr defaultRowHeight="12.75" outlineLevelRow="2" outlineLevelCol="2"/>
  <cols>
    <col min="1" max="1" width="5" bestFit="1" customWidth="1"/>
    <col min="2" max="2" width="4.85546875" customWidth="1"/>
    <col min="3" max="3" width="45.28515625" bestFit="1" customWidth="1"/>
    <col min="4" max="4" width="7" customWidth="1" outlineLevel="2"/>
    <col min="5" max="5" width="6" customWidth="1" outlineLevel="2"/>
    <col min="6" max="7" width="7" customWidth="1" outlineLevel="2"/>
    <col min="8" max="9" width="6" customWidth="1" outlineLevel="2"/>
    <col min="10" max="10" width="7" customWidth="1" outlineLevel="2"/>
    <col min="11" max="11" width="8" customWidth="1" outlineLevel="1"/>
    <col min="12" max="12" width="8" customWidth="1" outlineLevel="2"/>
    <col min="13" max="24" width="6" customWidth="1" outlineLevel="2"/>
    <col min="25" max="25" width="8" customWidth="1" outlineLevel="1"/>
    <col min="26" max="28" width="6" customWidth="1" outlineLevel="2"/>
    <col min="29" max="29" width="6.5703125" bestFit="1" customWidth="1" outlineLevel="1"/>
    <col min="30" max="30" width="7.5703125" bestFit="1" customWidth="1"/>
    <col min="31" max="42" width="6" customWidth="1"/>
  </cols>
  <sheetData>
    <row r="1" spans="1:30">
      <c r="D1">
        <v>10</v>
      </c>
      <c r="E1">
        <v>11</v>
      </c>
      <c r="F1">
        <v>12</v>
      </c>
      <c r="G1">
        <v>13</v>
      </c>
      <c r="H1">
        <v>14</v>
      </c>
      <c r="I1">
        <v>15</v>
      </c>
      <c r="J1">
        <v>16</v>
      </c>
      <c r="K1">
        <v>6112</v>
      </c>
      <c r="L1">
        <v>20</v>
      </c>
      <c r="M1">
        <v>21</v>
      </c>
      <c r="N1">
        <v>22</v>
      </c>
      <c r="O1">
        <v>24</v>
      </c>
      <c r="P1">
        <v>25</v>
      </c>
      <c r="Q1">
        <v>26</v>
      </c>
      <c r="R1">
        <v>30</v>
      </c>
      <c r="S1">
        <v>31</v>
      </c>
      <c r="T1">
        <v>32</v>
      </c>
      <c r="U1">
        <v>35</v>
      </c>
      <c r="V1">
        <v>6</v>
      </c>
      <c r="W1">
        <v>7</v>
      </c>
      <c r="X1">
        <v>9</v>
      </c>
      <c r="Y1">
        <v>6111</v>
      </c>
      <c r="Z1">
        <v>4</v>
      </c>
      <c r="AA1">
        <v>5</v>
      </c>
      <c r="AC1">
        <v>615</v>
      </c>
    </row>
    <row r="3" spans="1:30" outlineLevel="1">
      <c r="A3">
        <v>3</v>
      </c>
      <c r="C3" s="330" t="s">
        <v>270</v>
      </c>
      <c r="Y3" s="329">
        <f>SUM(L3:X3)</f>
        <v>0</v>
      </c>
      <c r="AC3" s="329">
        <f t="shared" ref="AC3:AC11" si="0">SUM(Z3:AB3)</f>
        <v>0</v>
      </c>
      <c r="AD3" s="329">
        <f>SUM(K3,Y3,AC3)</f>
        <v>0</v>
      </c>
    </row>
    <row r="4" spans="1:30" outlineLevel="2">
      <c r="A4">
        <v>6011</v>
      </c>
      <c r="B4">
        <v>5</v>
      </c>
      <c r="C4" t="s">
        <v>455</v>
      </c>
      <c r="K4">
        <f t="shared" ref="K4:K53" si="1">SUM(D4:J4)</f>
        <v>0</v>
      </c>
      <c r="Y4" s="329">
        <f t="shared" ref="Y4:Y53" si="2">SUM(L4:X4)</f>
        <v>0</v>
      </c>
      <c r="AC4" s="329">
        <f>SUM(Z4:AB4)</f>
        <v>0</v>
      </c>
      <c r="AD4" s="329">
        <f t="shared" ref="AD4:AD70" si="3">SUM(K4,Y4,AC4)</f>
        <v>0</v>
      </c>
    </row>
    <row r="5" spans="1:30" outlineLevel="2">
      <c r="A5">
        <v>6011</v>
      </c>
      <c r="B5">
        <v>6</v>
      </c>
      <c r="C5" t="s">
        <v>456</v>
      </c>
      <c r="K5">
        <f t="shared" si="1"/>
        <v>0</v>
      </c>
      <c r="Y5" s="329">
        <f t="shared" si="2"/>
        <v>0</v>
      </c>
      <c r="AC5" s="329">
        <f>SUM(Z5:AB5)</f>
        <v>0</v>
      </c>
      <c r="AD5" s="329">
        <f t="shared" si="3"/>
        <v>0</v>
      </c>
    </row>
    <row r="6" spans="1:30" outlineLevel="2">
      <c r="A6">
        <v>6011</v>
      </c>
      <c r="B6">
        <v>7</v>
      </c>
      <c r="C6" t="s">
        <v>452</v>
      </c>
      <c r="F6">
        <v>0.83</v>
      </c>
      <c r="K6">
        <f t="shared" si="1"/>
        <v>0.83</v>
      </c>
      <c r="Y6" s="329">
        <f t="shared" si="2"/>
        <v>0</v>
      </c>
      <c r="AC6" s="329">
        <f t="shared" si="0"/>
        <v>0</v>
      </c>
      <c r="AD6" s="329">
        <f t="shared" si="3"/>
        <v>0.83</v>
      </c>
    </row>
    <row r="7" spans="1:30" outlineLevel="2">
      <c r="A7">
        <v>6011</v>
      </c>
      <c r="B7">
        <v>7</v>
      </c>
      <c r="C7" t="s">
        <v>457</v>
      </c>
      <c r="K7">
        <f t="shared" si="1"/>
        <v>0</v>
      </c>
      <c r="L7">
        <v>1625.29</v>
      </c>
      <c r="Y7" s="329">
        <f t="shared" si="2"/>
        <v>1625.29</v>
      </c>
      <c r="AC7" s="329">
        <f>SUM(Z7:AB7)</f>
        <v>0</v>
      </c>
      <c r="AD7" s="329">
        <f t="shared" si="3"/>
        <v>1625.29</v>
      </c>
    </row>
    <row r="8" spans="1:30" outlineLevel="2">
      <c r="A8">
        <v>6011</v>
      </c>
      <c r="B8">
        <v>8</v>
      </c>
      <c r="C8" t="s">
        <v>453</v>
      </c>
      <c r="F8">
        <v>27.56</v>
      </c>
      <c r="G8">
        <v>5.24</v>
      </c>
      <c r="K8">
        <f t="shared" si="1"/>
        <v>32.799999999999997</v>
      </c>
      <c r="L8">
        <v>77.37</v>
      </c>
      <c r="R8">
        <v>57.48</v>
      </c>
      <c r="S8">
        <v>804.24</v>
      </c>
      <c r="U8">
        <v>3.49</v>
      </c>
      <c r="Y8" s="329">
        <f t="shared" si="2"/>
        <v>942.58</v>
      </c>
      <c r="AC8" s="329">
        <f t="shared" si="0"/>
        <v>0</v>
      </c>
      <c r="AD8" s="329">
        <f t="shared" si="3"/>
        <v>975.38</v>
      </c>
    </row>
    <row r="9" spans="1:30" outlineLevel="2">
      <c r="A9">
        <v>6011</v>
      </c>
      <c r="B9">
        <v>10</v>
      </c>
      <c r="C9" t="s">
        <v>454</v>
      </c>
      <c r="D9">
        <v>87.04</v>
      </c>
      <c r="J9">
        <v>148.55000000000001</v>
      </c>
      <c r="K9">
        <f>SUM(D9:J9)</f>
        <v>235.59000000000003</v>
      </c>
      <c r="Y9" s="329">
        <f t="shared" si="2"/>
        <v>0</v>
      </c>
      <c r="AC9" s="329">
        <f t="shared" si="0"/>
        <v>0</v>
      </c>
      <c r="AD9" s="329">
        <f t="shared" si="3"/>
        <v>235.59000000000003</v>
      </c>
    </row>
    <row r="10" spans="1:30" outlineLevel="2">
      <c r="A10">
        <v>6011</v>
      </c>
      <c r="B10">
        <v>11</v>
      </c>
      <c r="C10" t="s">
        <v>440</v>
      </c>
      <c r="D10">
        <v>22.34</v>
      </c>
      <c r="J10">
        <v>14</v>
      </c>
      <c r="K10">
        <f t="shared" si="1"/>
        <v>36.340000000000003</v>
      </c>
      <c r="Y10" s="329">
        <f t="shared" si="2"/>
        <v>0</v>
      </c>
      <c r="AC10" s="329">
        <f t="shared" si="0"/>
        <v>0</v>
      </c>
      <c r="AD10" s="329">
        <f>SUM(K10,Y10,AC10)</f>
        <v>36.340000000000003</v>
      </c>
    </row>
    <row r="11" spans="1:30" outlineLevel="2">
      <c r="A11">
        <v>6011</v>
      </c>
      <c r="B11">
        <v>12</v>
      </c>
      <c r="C11" t="s">
        <v>441</v>
      </c>
      <c r="F11">
        <v>132.51</v>
      </c>
      <c r="G11">
        <v>28.52</v>
      </c>
      <c r="K11">
        <f t="shared" si="1"/>
        <v>161.03</v>
      </c>
      <c r="Y11" s="329">
        <f t="shared" si="2"/>
        <v>0</v>
      </c>
      <c r="AC11" s="329">
        <f t="shared" si="0"/>
        <v>0</v>
      </c>
      <c r="AD11" s="329">
        <f>SUM(K11,Y11,AC11)</f>
        <v>161.03</v>
      </c>
    </row>
    <row r="12" spans="1:30" outlineLevel="2">
      <c r="A12">
        <v>6011</v>
      </c>
      <c r="B12">
        <v>13</v>
      </c>
      <c r="C12" t="s">
        <v>458</v>
      </c>
      <c r="K12">
        <f>SUM(D12:J12)</f>
        <v>0</v>
      </c>
      <c r="Y12" s="329">
        <f>SUM(L12:X12)</f>
        <v>0</v>
      </c>
      <c r="AA12">
        <v>118.64</v>
      </c>
      <c r="AC12" s="329">
        <f>SUM(Z12:AB12)</f>
        <v>118.64</v>
      </c>
      <c r="AD12" s="329">
        <f>SUM(K12,Y12,AC12)</f>
        <v>118.64</v>
      </c>
    </row>
    <row r="13" spans="1:30" outlineLevel="2">
      <c r="A13">
        <v>6011</v>
      </c>
      <c r="B13">
        <v>14</v>
      </c>
      <c r="C13" t="s">
        <v>459</v>
      </c>
      <c r="K13">
        <f>SUM(D13:J13)</f>
        <v>0</v>
      </c>
      <c r="Y13" s="329">
        <f>SUM(L13:X13)</f>
        <v>0</v>
      </c>
      <c r="AA13">
        <v>47.22</v>
      </c>
      <c r="AC13" s="329">
        <f>SUM(Z13:AB13)</f>
        <v>47.22</v>
      </c>
      <c r="AD13" s="329">
        <f t="shared" si="3"/>
        <v>47.22</v>
      </c>
    </row>
    <row r="14" spans="1:30" outlineLevel="2">
      <c r="A14">
        <v>6011</v>
      </c>
      <c r="B14">
        <v>15</v>
      </c>
      <c r="C14" t="s">
        <v>460</v>
      </c>
      <c r="K14">
        <f>SUM(D14:J14)</f>
        <v>0</v>
      </c>
      <c r="Y14" s="329">
        <f>SUM(L14:X14)</f>
        <v>0</v>
      </c>
      <c r="Z14">
        <v>731.56</v>
      </c>
      <c r="AC14" s="329">
        <f>SUM(Z14:AB14)</f>
        <v>731.56</v>
      </c>
      <c r="AD14" s="329">
        <f t="shared" si="3"/>
        <v>731.56</v>
      </c>
    </row>
    <row r="15" spans="1:30" outlineLevel="2">
      <c r="A15">
        <v>6011</v>
      </c>
      <c r="K15">
        <f t="shared" si="1"/>
        <v>0</v>
      </c>
      <c r="Y15" s="329">
        <f t="shared" si="2"/>
        <v>0</v>
      </c>
      <c r="AC15" s="329">
        <f>SUM(Z15:AB15)</f>
        <v>0</v>
      </c>
      <c r="AD15" s="329">
        <f t="shared" si="3"/>
        <v>0</v>
      </c>
    </row>
    <row r="16" spans="1:30" outlineLevel="1">
      <c r="C16" s="330" t="s">
        <v>270</v>
      </c>
      <c r="D16">
        <f t="shared" ref="D16:J16" si="4">SUM(D2:D15)</f>
        <v>109.38000000000001</v>
      </c>
      <c r="E16">
        <f t="shared" si="4"/>
        <v>0</v>
      </c>
      <c r="F16">
        <f t="shared" si="4"/>
        <v>160.89999999999998</v>
      </c>
      <c r="G16">
        <f t="shared" si="4"/>
        <v>33.76</v>
      </c>
      <c r="H16">
        <f t="shared" si="4"/>
        <v>0</v>
      </c>
      <c r="I16">
        <f t="shared" si="4"/>
        <v>0</v>
      </c>
      <c r="J16">
        <f t="shared" si="4"/>
        <v>162.55000000000001</v>
      </c>
      <c r="K16">
        <f t="shared" si="1"/>
        <v>466.59</v>
      </c>
      <c r="L16">
        <f t="shared" ref="L16:X16" si="5">SUM(L2:L15)</f>
        <v>1702.6599999999999</v>
      </c>
      <c r="M16">
        <f t="shared" si="5"/>
        <v>0</v>
      </c>
      <c r="N16">
        <f t="shared" si="5"/>
        <v>0</v>
      </c>
      <c r="O16">
        <f t="shared" si="5"/>
        <v>0</v>
      </c>
      <c r="P16">
        <f t="shared" si="5"/>
        <v>0</v>
      </c>
      <c r="Q16">
        <f t="shared" si="5"/>
        <v>0</v>
      </c>
      <c r="R16">
        <f t="shared" si="5"/>
        <v>57.48</v>
      </c>
      <c r="S16">
        <f t="shared" si="5"/>
        <v>804.24</v>
      </c>
      <c r="T16">
        <f t="shared" si="5"/>
        <v>0</v>
      </c>
      <c r="U16">
        <f t="shared" si="5"/>
        <v>3.49</v>
      </c>
      <c r="V16">
        <f t="shared" si="5"/>
        <v>0</v>
      </c>
      <c r="W16">
        <f t="shared" si="5"/>
        <v>0</v>
      </c>
      <c r="X16">
        <f t="shared" si="5"/>
        <v>0</v>
      </c>
      <c r="Y16" s="329">
        <f t="shared" si="2"/>
        <v>2567.87</v>
      </c>
      <c r="Z16">
        <f>SUM(Z2:Z15)</f>
        <v>731.56</v>
      </c>
      <c r="AA16">
        <f>SUM(AA2:AA15)</f>
        <v>165.86</v>
      </c>
      <c r="AB16">
        <f>SUM(AB2:AB15)</f>
        <v>0</v>
      </c>
      <c r="AC16" s="329">
        <f t="shared" ref="AC16:AC79" si="6">SUM(Z16:AB16)</f>
        <v>897.42</v>
      </c>
      <c r="AD16" s="329">
        <f t="shared" si="3"/>
        <v>3931.88</v>
      </c>
    </row>
    <row r="17" spans="1:30" outlineLevel="1">
      <c r="A17">
        <v>5</v>
      </c>
      <c r="C17" t="s">
        <v>307</v>
      </c>
      <c r="K17">
        <f t="shared" si="1"/>
        <v>0</v>
      </c>
      <c r="Y17" s="329">
        <f t="shared" si="2"/>
        <v>0</v>
      </c>
      <c r="AC17" s="329">
        <f t="shared" si="6"/>
        <v>0</v>
      </c>
      <c r="AD17" s="329">
        <f t="shared" si="3"/>
        <v>0</v>
      </c>
    </row>
    <row r="18" spans="1:30" outlineLevel="1">
      <c r="K18">
        <f t="shared" si="1"/>
        <v>0</v>
      </c>
      <c r="Y18" s="329">
        <f t="shared" si="2"/>
        <v>0</v>
      </c>
      <c r="AC18" s="329">
        <f t="shared" si="6"/>
        <v>0</v>
      </c>
      <c r="AD18" s="329">
        <f t="shared" si="3"/>
        <v>0</v>
      </c>
    </row>
    <row r="19" spans="1:30" outlineLevel="1">
      <c r="K19">
        <f t="shared" si="1"/>
        <v>0</v>
      </c>
      <c r="Y19" s="329">
        <f t="shared" si="2"/>
        <v>0</v>
      </c>
      <c r="AC19" s="329">
        <f t="shared" si="6"/>
        <v>0</v>
      </c>
      <c r="AD19" s="329">
        <f t="shared" si="3"/>
        <v>0</v>
      </c>
    </row>
    <row r="20" spans="1:30" outlineLevel="1">
      <c r="A20">
        <v>6</v>
      </c>
      <c r="B20" t="s">
        <v>422</v>
      </c>
      <c r="C20" s="330" t="s">
        <v>308</v>
      </c>
      <c r="K20">
        <f t="shared" si="1"/>
        <v>0</v>
      </c>
      <c r="Y20" s="329"/>
      <c r="AC20" s="329"/>
      <c r="AD20" s="329">
        <f t="shared" si="3"/>
        <v>0</v>
      </c>
    </row>
    <row r="21" spans="1:30" outlineLevel="1">
      <c r="A21">
        <v>6013</v>
      </c>
      <c r="C21" t="s">
        <v>431</v>
      </c>
      <c r="F21">
        <v>262.79000000000002</v>
      </c>
      <c r="K21">
        <f t="shared" si="1"/>
        <v>262.79000000000002</v>
      </c>
      <c r="L21">
        <v>6</v>
      </c>
      <c r="M21">
        <v>5.5</v>
      </c>
      <c r="S21">
        <v>3.67</v>
      </c>
      <c r="U21">
        <v>2</v>
      </c>
      <c r="Y21" s="329">
        <f t="shared" si="2"/>
        <v>17.170000000000002</v>
      </c>
      <c r="AC21" s="329">
        <f t="shared" si="6"/>
        <v>0</v>
      </c>
      <c r="AD21" s="329">
        <f t="shared" si="3"/>
        <v>279.96000000000004</v>
      </c>
    </row>
    <row r="22" spans="1:30" outlineLevel="1">
      <c r="A22">
        <v>6013</v>
      </c>
      <c r="C22" t="s">
        <v>432</v>
      </c>
      <c r="F22">
        <v>53.07</v>
      </c>
      <c r="K22">
        <f t="shared" si="1"/>
        <v>53.07</v>
      </c>
      <c r="L22">
        <v>1088.8</v>
      </c>
      <c r="M22">
        <v>10.4</v>
      </c>
      <c r="S22">
        <v>1.7</v>
      </c>
      <c r="T22">
        <v>8.4700000000000006</v>
      </c>
      <c r="Y22" s="329">
        <f t="shared" si="2"/>
        <v>1109.3700000000001</v>
      </c>
      <c r="AC22" s="329">
        <f t="shared" si="6"/>
        <v>0</v>
      </c>
      <c r="AD22" s="329">
        <f t="shared" si="3"/>
        <v>1162.44</v>
      </c>
    </row>
    <row r="23" spans="1:30" outlineLevel="1">
      <c r="A23">
        <v>6013</v>
      </c>
      <c r="B23">
        <v>7</v>
      </c>
      <c r="C23" t="s">
        <v>434</v>
      </c>
      <c r="K23">
        <f t="shared" si="1"/>
        <v>0</v>
      </c>
      <c r="Y23" s="329">
        <f t="shared" si="2"/>
        <v>0</v>
      </c>
      <c r="AC23" s="329">
        <f t="shared" si="6"/>
        <v>0</v>
      </c>
      <c r="AD23" s="329">
        <f t="shared" si="3"/>
        <v>0</v>
      </c>
    </row>
    <row r="24" spans="1:30" outlineLevel="1">
      <c r="A24">
        <v>6013</v>
      </c>
      <c r="B24">
        <v>6</v>
      </c>
      <c r="C24" t="s">
        <v>435</v>
      </c>
      <c r="K24">
        <f t="shared" si="1"/>
        <v>0</v>
      </c>
      <c r="U24">
        <v>84</v>
      </c>
      <c r="Y24" s="329">
        <f t="shared" si="2"/>
        <v>84</v>
      </c>
      <c r="AC24" s="329">
        <f t="shared" si="6"/>
        <v>0</v>
      </c>
      <c r="AD24" s="329">
        <f t="shared" si="3"/>
        <v>84</v>
      </c>
    </row>
    <row r="25" spans="1:30" outlineLevel="1">
      <c r="C25" s="330" t="s">
        <v>308</v>
      </c>
      <c r="D25">
        <f t="shared" ref="D25:J25" si="7">SUM(D21:D24)</f>
        <v>0</v>
      </c>
      <c r="E25">
        <f t="shared" si="7"/>
        <v>0</v>
      </c>
      <c r="F25">
        <f t="shared" si="7"/>
        <v>315.86</v>
      </c>
      <c r="G25">
        <f t="shared" si="7"/>
        <v>0</v>
      </c>
      <c r="H25">
        <f t="shared" si="7"/>
        <v>0</v>
      </c>
      <c r="I25">
        <f t="shared" si="7"/>
        <v>0</v>
      </c>
      <c r="J25">
        <f t="shared" si="7"/>
        <v>0</v>
      </c>
      <c r="K25">
        <f t="shared" si="1"/>
        <v>315.86</v>
      </c>
      <c r="L25">
        <f t="shared" ref="L25:AB25" si="8">SUM(L21:L24)</f>
        <v>1094.8</v>
      </c>
      <c r="M25">
        <f t="shared" si="8"/>
        <v>15.9</v>
      </c>
      <c r="N25">
        <f t="shared" si="8"/>
        <v>0</v>
      </c>
      <c r="O25">
        <f t="shared" si="8"/>
        <v>0</v>
      </c>
      <c r="P25">
        <f t="shared" si="8"/>
        <v>0</v>
      </c>
      <c r="Q25">
        <f t="shared" si="8"/>
        <v>0</v>
      </c>
      <c r="R25">
        <f t="shared" si="8"/>
        <v>0</v>
      </c>
      <c r="S25">
        <f t="shared" si="8"/>
        <v>5.37</v>
      </c>
      <c r="T25">
        <f t="shared" si="8"/>
        <v>8.4700000000000006</v>
      </c>
      <c r="U25">
        <f t="shared" si="8"/>
        <v>86</v>
      </c>
      <c r="V25">
        <f t="shared" si="8"/>
        <v>0</v>
      </c>
      <c r="W25">
        <f t="shared" si="8"/>
        <v>0</v>
      </c>
      <c r="X25">
        <f t="shared" si="8"/>
        <v>0</v>
      </c>
      <c r="Y25" s="329">
        <f t="shared" si="2"/>
        <v>1210.54</v>
      </c>
      <c r="Z25">
        <f t="shared" si="8"/>
        <v>0</v>
      </c>
      <c r="AA25">
        <f t="shared" si="8"/>
        <v>0</v>
      </c>
      <c r="AB25">
        <f t="shared" si="8"/>
        <v>0</v>
      </c>
      <c r="AC25" s="329">
        <f t="shared" si="6"/>
        <v>0</v>
      </c>
      <c r="AD25" s="329">
        <f t="shared" si="3"/>
        <v>1526.4</v>
      </c>
    </row>
    <row r="26" spans="1:30" outlineLevel="1">
      <c r="K26">
        <f t="shared" si="1"/>
        <v>0</v>
      </c>
      <c r="Y26" s="329">
        <f t="shared" si="2"/>
        <v>0</v>
      </c>
      <c r="AC26" s="329">
        <f t="shared" si="6"/>
        <v>0</v>
      </c>
      <c r="AD26" s="329">
        <f t="shared" si="3"/>
        <v>0</v>
      </c>
    </row>
    <row r="27" spans="1:30" outlineLevel="1">
      <c r="A27">
        <v>6021</v>
      </c>
      <c r="B27">
        <v>3</v>
      </c>
      <c r="C27" t="s">
        <v>442</v>
      </c>
      <c r="K27">
        <f t="shared" si="1"/>
        <v>0</v>
      </c>
      <c r="Y27" s="329">
        <f t="shared" si="2"/>
        <v>0</v>
      </c>
      <c r="AC27" s="329">
        <f t="shared" si="6"/>
        <v>0</v>
      </c>
      <c r="AD27" s="329">
        <f t="shared" si="3"/>
        <v>0</v>
      </c>
    </row>
    <row r="28" spans="1:30" outlineLevel="1">
      <c r="K28">
        <f t="shared" si="1"/>
        <v>0</v>
      </c>
      <c r="Y28" s="329">
        <f t="shared" si="2"/>
        <v>0</v>
      </c>
      <c r="AC28" s="329">
        <f t="shared" si="6"/>
        <v>0</v>
      </c>
      <c r="AD28" s="329">
        <f t="shared" si="3"/>
        <v>0</v>
      </c>
    </row>
    <row r="29" spans="1:30" outlineLevel="1">
      <c r="C29" t="s">
        <v>305</v>
      </c>
      <c r="K29">
        <f t="shared" si="1"/>
        <v>0</v>
      </c>
      <c r="Y29" s="329">
        <f t="shared" si="2"/>
        <v>0</v>
      </c>
      <c r="AC29" s="329">
        <f t="shared" si="6"/>
        <v>0</v>
      </c>
      <c r="AD29" s="329">
        <f t="shared" si="3"/>
        <v>0</v>
      </c>
    </row>
    <row r="30" spans="1:30" outlineLevel="2">
      <c r="A30">
        <v>6022</v>
      </c>
      <c r="C30" s="255" t="s">
        <v>421</v>
      </c>
      <c r="D30">
        <v>10</v>
      </c>
      <c r="E30">
        <v>10</v>
      </c>
      <c r="F30">
        <v>10</v>
      </c>
      <c r="G30">
        <v>10</v>
      </c>
      <c r="H30">
        <v>10</v>
      </c>
      <c r="I30">
        <v>10</v>
      </c>
      <c r="J30">
        <v>10</v>
      </c>
      <c r="K30">
        <f t="shared" si="1"/>
        <v>70</v>
      </c>
      <c r="L30">
        <v>45</v>
      </c>
      <c r="Y30" s="329">
        <f t="shared" si="2"/>
        <v>45</v>
      </c>
      <c r="AC30" s="329">
        <f t="shared" si="6"/>
        <v>0</v>
      </c>
      <c r="AD30" s="329">
        <f t="shared" si="3"/>
        <v>115</v>
      </c>
    </row>
    <row r="31" spans="1:30" outlineLevel="2">
      <c r="A31">
        <v>6022</v>
      </c>
      <c r="B31">
        <v>19</v>
      </c>
      <c r="C31" t="s">
        <v>433</v>
      </c>
      <c r="F31">
        <v>40</v>
      </c>
      <c r="K31">
        <f t="shared" si="1"/>
        <v>40</v>
      </c>
      <c r="L31">
        <v>40</v>
      </c>
      <c r="Y31" s="329">
        <f t="shared" si="2"/>
        <v>40</v>
      </c>
      <c r="Z31">
        <v>0</v>
      </c>
      <c r="AC31" s="329">
        <f t="shared" si="6"/>
        <v>0</v>
      </c>
      <c r="AD31" s="329">
        <f t="shared" si="3"/>
        <v>80</v>
      </c>
    </row>
    <row r="32" spans="1:30" outlineLevel="2">
      <c r="A32">
        <v>6022</v>
      </c>
      <c r="B32">
        <v>33</v>
      </c>
      <c r="C32" t="s">
        <v>430</v>
      </c>
      <c r="K32">
        <f t="shared" si="1"/>
        <v>0</v>
      </c>
      <c r="P32">
        <v>47.5</v>
      </c>
      <c r="Y32" s="329">
        <f t="shared" si="2"/>
        <v>47.5</v>
      </c>
      <c r="Z32">
        <f>SUM(M32:Y32)</f>
        <v>95</v>
      </c>
      <c r="AC32" s="329">
        <f t="shared" si="6"/>
        <v>95</v>
      </c>
      <c r="AD32" s="329">
        <f t="shared" si="3"/>
        <v>142.5</v>
      </c>
    </row>
    <row r="33" spans="1:30" outlineLevel="2">
      <c r="A33">
        <v>6022</v>
      </c>
      <c r="B33">
        <v>1</v>
      </c>
      <c r="C33" t="s">
        <v>446</v>
      </c>
      <c r="K33">
        <f t="shared" si="1"/>
        <v>0</v>
      </c>
      <c r="L33">
        <v>614.82000000000005</v>
      </c>
      <c r="Y33" s="329">
        <f t="shared" si="2"/>
        <v>614.82000000000005</v>
      </c>
      <c r="AC33" s="329">
        <f t="shared" si="6"/>
        <v>0</v>
      </c>
      <c r="AD33" s="329">
        <f t="shared" si="3"/>
        <v>614.82000000000005</v>
      </c>
    </row>
    <row r="34" spans="1:30" outlineLevel="2">
      <c r="K34">
        <f t="shared" si="1"/>
        <v>0</v>
      </c>
      <c r="Y34" s="329">
        <f t="shared" si="2"/>
        <v>0</v>
      </c>
      <c r="AC34" s="329">
        <f t="shared" si="6"/>
        <v>0</v>
      </c>
      <c r="AD34" s="329">
        <f t="shared" si="3"/>
        <v>0</v>
      </c>
    </row>
    <row r="35" spans="1:30" outlineLevel="1">
      <c r="C35" t="s">
        <v>305</v>
      </c>
      <c r="D35">
        <f>SUM(D30:D34)</f>
        <v>10</v>
      </c>
      <c r="E35">
        <f t="shared" ref="E35:AB35" si="9">SUM(E30:E34)</f>
        <v>10</v>
      </c>
      <c r="F35">
        <f t="shared" si="9"/>
        <v>50</v>
      </c>
      <c r="G35">
        <f t="shared" si="9"/>
        <v>10</v>
      </c>
      <c r="H35">
        <f t="shared" si="9"/>
        <v>10</v>
      </c>
      <c r="I35">
        <f t="shared" si="9"/>
        <v>10</v>
      </c>
      <c r="J35">
        <f t="shared" si="9"/>
        <v>10</v>
      </c>
      <c r="K35">
        <f t="shared" si="1"/>
        <v>110</v>
      </c>
      <c r="L35">
        <f t="shared" si="9"/>
        <v>699.82</v>
      </c>
      <c r="M35">
        <f t="shared" si="9"/>
        <v>0</v>
      </c>
      <c r="N35">
        <f t="shared" si="9"/>
        <v>0</v>
      </c>
      <c r="O35">
        <f t="shared" si="9"/>
        <v>0</v>
      </c>
      <c r="P35">
        <f t="shared" si="9"/>
        <v>47.5</v>
      </c>
      <c r="Q35">
        <f t="shared" si="9"/>
        <v>0</v>
      </c>
      <c r="R35">
        <f t="shared" si="9"/>
        <v>0</v>
      </c>
      <c r="S35">
        <f t="shared" si="9"/>
        <v>0</v>
      </c>
      <c r="T35">
        <f t="shared" si="9"/>
        <v>0</v>
      </c>
      <c r="U35">
        <f t="shared" si="9"/>
        <v>0</v>
      </c>
      <c r="V35">
        <f t="shared" si="9"/>
        <v>0</v>
      </c>
      <c r="W35">
        <f t="shared" si="9"/>
        <v>0</v>
      </c>
      <c r="X35">
        <f t="shared" si="9"/>
        <v>0</v>
      </c>
      <c r="Y35" s="329">
        <f t="shared" si="2"/>
        <v>747.32</v>
      </c>
      <c r="Z35">
        <f t="shared" si="9"/>
        <v>95</v>
      </c>
      <c r="AA35">
        <f t="shared" si="9"/>
        <v>0</v>
      </c>
      <c r="AB35">
        <f t="shared" si="9"/>
        <v>0</v>
      </c>
      <c r="AC35" s="329">
        <f t="shared" si="6"/>
        <v>95</v>
      </c>
      <c r="AD35" s="329">
        <f t="shared" si="3"/>
        <v>952.32</v>
      </c>
    </row>
    <row r="36" spans="1:30" outlineLevel="1">
      <c r="A36">
        <v>603</v>
      </c>
      <c r="C36" t="s">
        <v>437</v>
      </c>
      <c r="K36">
        <f t="shared" si="1"/>
        <v>0</v>
      </c>
      <c r="Y36" s="329">
        <f t="shared" si="2"/>
        <v>0</v>
      </c>
      <c r="AC36" s="329">
        <f t="shared" si="6"/>
        <v>0</v>
      </c>
      <c r="AD36" s="329">
        <f t="shared" si="3"/>
        <v>0</v>
      </c>
    </row>
    <row r="37" spans="1:30" outlineLevel="1">
      <c r="C37" t="s">
        <v>426</v>
      </c>
      <c r="K37">
        <f t="shared" si="1"/>
        <v>0</v>
      </c>
      <c r="Y37" s="329">
        <f t="shared" si="2"/>
        <v>0</v>
      </c>
      <c r="AC37" s="329">
        <f t="shared" si="6"/>
        <v>0</v>
      </c>
      <c r="AD37" s="329">
        <f t="shared" si="3"/>
        <v>0</v>
      </c>
    </row>
    <row r="38" spans="1:30" outlineLevel="2">
      <c r="A38">
        <v>604</v>
      </c>
      <c r="C38" t="s">
        <v>426</v>
      </c>
      <c r="K38">
        <f t="shared" si="1"/>
        <v>0</v>
      </c>
      <c r="Y38" s="329">
        <f t="shared" si="2"/>
        <v>0</v>
      </c>
      <c r="AC38" s="329">
        <f t="shared" si="6"/>
        <v>0</v>
      </c>
      <c r="AD38" s="329">
        <f t="shared" si="3"/>
        <v>0</v>
      </c>
    </row>
    <row r="39" spans="1:30" outlineLevel="2">
      <c r="A39">
        <v>604</v>
      </c>
      <c r="C39" t="s">
        <v>427</v>
      </c>
      <c r="K39">
        <f t="shared" si="1"/>
        <v>0</v>
      </c>
      <c r="Y39" s="329">
        <f t="shared" si="2"/>
        <v>0</v>
      </c>
      <c r="AC39" s="329">
        <f t="shared" si="6"/>
        <v>0</v>
      </c>
      <c r="AD39" s="329">
        <f t="shared" si="3"/>
        <v>0</v>
      </c>
    </row>
    <row r="40" spans="1:30" outlineLevel="2">
      <c r="A40">
        <v>604</v>
      </c>
      <c r="C40" t="s">
        <v>428</v>
      </c>
      <c r="K40">
        <f t="shared" si="1"/>
        <v>0</v>
      </c>
      <c r="Y40" s="329">
        <f t="shared" si="2"/>
        <v>0</v>
      </c>
      <c r="AC40" s="329">
        <f t="shared" si="6"/>
        <v>0</v>
      </c>
      <c r="AD40" s="329">
        <f t="shared" si="3"/>
        <v>0</v>
      </c>
    </row>
    <row r="41" spans="1:30" outlineLevel="1">
      <c r="C41" t="s">
        <v>426</v>
      </c>
      <c r="D41">
        <f>SUM(D38:D40)</f>
        <v>0</v>
      </c>
      <c r="K41">
        <f t="shared" si="1"/>
        <v>0</v>
      </c>
      <c r="Y41" s="329">
        <f t="shared" si="2"/>
        <v>0</v>
      </c>
      <c r="AC41" s="329">
        <f t="shared" si="6"/>
        <v>0</v>
      </c>
      <c r="AD41" s="329">
        <f t="shared" si="3"/>
        <v>0</v>
      </c>
    </row>
    <row r="42" spans="1:30" outlineLevel="1">
      <c r="A42">
        <v>605</v>
      </c>
      <c r="C42" t="s">
        <v>429</v>
      </c>
      <c r="K42">
        <f t="shared" si="1"/>
        <v>0</v>
      </c>
      <c r="Y42" s="329">
        <f t="shared" si="2"/>
        <v>0</v>
      </c>
      <c r="AC42" s="329">
        <f t="shared" si="6"/>
        <v>0</v>
      </c>
      <c r="AD42" s="329">
        <f t="shared" si="3"/>
        <v>0</v>
      </c>
    </row>
    <row r="43" spans="1:30" outlineLevel="1">
      <c r="C43" t="s">
        <v>380</v>
      </c>
      <c r="K43">
        <f t="shared" si="1"/>
        <v>0</v>
      </c>
      <c r="Y43" s="329">
        <f t="shared" si="2"/>
        <v>0</v>
      </c>
      <c r="AC43" s="329">
        <f t="shared" si="6"/>
        <v>0</v>
      </c>
      <c r="AD43" s="329">
        <f t="shared" si="3"/>
        <v>0</v>
      </c>
    </row>
    <row r="44" spans="1:30" outlineLevel="2">
      <c r="A44">
        <v>606</v>
      </c>
      <c r="B44">
        <v>9</v>
      </c>
      <c r="C44" t="s">
        <v>436</v>
      </c>
      <c r="K44">
        <f t="shared" si="1"/>
        <v>0</v>
      </c>
      <c r="Y44" s="329">
        <f t="shared" si="2"/>
        <v>0</v>
      </c>
      <c r="AC44" s="329">
        <f t="shared" si="6"/>
        <v>0</v>
      </c>
      <c r="AD44" s="329">
        <f t="shared" si="3"/>
        <v>0</v>
      </c>
    </row>
    <row r="45" spans="1:30" outlineLevel="2">
      <c r="C45" t="s">
        <v>445</v>
      </c>
      <c r="D45">
        <v>10.94</v>
      </c>
      <c r="K45">
        <f t="shared" si="1"/>
        <v>10.94</v>
      </c>
      <c r="Y45" s="329">
        <f t="shared" si="2"/>
        <v>0</v>
      </c>
      <c r="AC45" s="329">
        <f t="shared" si="6"/>
        <v>0</v>
      </c>
      <c r="AD45" s="329">
        <f t="shared" si="3"/>
        <v>10.94</v>
      </c>
    </row>
    <row r="46" spans="1:30" outlineLevel="2">
      <c r="A46">
        <v>606</v>
      </c>
      <c r="B46">
        <v>1</v>
      </c>
      <c r="C46" t="s">
        <v>443</v>
      </c>
      <c r="K46">
        <f t="shared" si="1"/>
        <v>0</v>
      </c>
      <c r="Y46" s="329">
        <f t="shared" si="2"/>
        <v>0</v>
      </c>
      <c r="AC46" s="329">
        <f t="shared" si="6"/>
        <v>0</v>
      </c>
      <c r="AD46" s="329">
        <f t="shared" si="3"/>
        <v>0</v>
      </c>
    </row>
    <row r="47" spans="1:30" outlineLevel="2">
      <c r="A47">
        <v>606</v>
      </c>
      <c r="B47">
        <v>3</v>
      </c>
      <c r="C47" t="s">
        <v>444</v>
      </c>
      <c r="D47">
        <v>19.760000000000002</v>
      </c>
      <c r="E47">
        <v>19</v>
      </c>
      <c r="F47">
        <v>28.5</v>
      </c>
      <c r="G47">
        <v>57</v>
      </c>
      <c r="H47">
        <v>47.5</v>
      </c>
      <c r="I47">
        <v>47.5</v>
      </c>
      <c r="J47">
        <v>47.5</v>
      </c>
      <c r="K47">
        <f t="shared" si="1"/>
        <v>266.76</v>
      </c>
      <c r="L47">
        <v>95</v>
      </c>
      <c r="M47">
        <v>19</v>
      </c>
      <c r="N47">
        <v>28.5</v>
      </c>
      <c r="O47">
        <v>7.71</v>
      </c>
      <c r="P47">
        <v>47.5</v>
      </c>
      <c r="Q47">
        <v>47.5</v>
      </c>
      <c r="V47">
        <v>9.5</v>
      </c>
      <c r="W47">
        <v>53.87</v>
      </c>
      <c r="X47">
        <v>19</v>
      </c>
      <c r="Y47" s="329">
        <f t="shared" si="2"/>
        <v>327.58</v>
      </c>
      <c r="AC47" s="329">
        <f t="shared" si="6"/>
        <v>0</v>
      </c>
      <c r="AD47" s="329">
        <f t="shared" si="3"/>
        <v>594.33999999999992</v>
      </c>
    </row>
    <row r="48" spans="1:30" outlineLevel="1">
      <c r="C48" t="s">
        <v>380</v>
      </c>
      <c r="D48">
        <f>SUM(D44:D47)</f>
        <v>30.700000000000003</v>
      </c>
      <c r="E48">
        <f t="shared" ref="E48:AB48" si="10">SUM(E44:E47)</f>
        <v>19</v>
      </c>
      <c r="F48">
        <f t="shared" si="10"/>
        <v>28.5</v>
      </c>
      <c r="G48">
        <f t="shared" si="10"/>
        <v>57</v>
      </c>
      <c r="H48">
        <f t="shared" si="10"/>
        <v>47.5</v>
      </c>
      <c r="I48">
        <f t="shared" si="10"/>
        <v>47.5</v>
      </c>
      <c r="J48">
        <f t="shared" si="10"/>
        <v>47.5</v>
      </c>
      <c r="K48">
        <f t="shared" si="1"/>
        <v>277.7</v>
      </c>
      <c r="L48">
        <f t="shared" si="10"/>
        <v>95</v>
      </c>
      <c r="M48">
        <f t="shared" si="10"/>
        <v>19</v>
      </c>
      <c r="N48">
        <f t="shared" si="10"/>
        <v>28.5</v>
      </c>
      <c r="O48">
        <f t="shared" si="10"/>
        <v>7.71</v>
      </c>
      <c r="P48">
        <f t="shared" si="10"/>
        <v>47.5</v>
      </c>
      <c r="Q48">
        <f t="shared" si="10"/>
        <v>47.5</v>
      </c>
      <c r="R48">
        <f t="shared" si="10"/>
        <v>0</v>
      </c>
      <c r="S48">
        <f t="shared" si="10"/>
        <v>0</v>
      </c>
      <c r="T48">
        <f t="shared" si="10"/>
        <v>0</v>
      </c>
      <c r="U48">
        <f t="shared" si="10"/>
        <v>0</v>
      </c>
      <c r="V48">
        <f t="shared" si="10"/>
        <v>9.5</v>
      </c>
      <c r="W48">
        <f t="shared" si="10"/>
        <v>53.87</v>
      </c>
      <c r="X48">
        <f t="shared" si="10"/>
        <v>19</v>
      </c>
      <c r="Y48" s="329">
        <f t="shared" si="2"/>
        <v>327.58</v>
      </c>
      <c r="Z48">
        <f t="shared" si="10"/>
        <v>0</v>
      </c>
      <c r="AA48">
        <f t="shared" si="10"/>
        <v>0</v>
      </c>
      <c r="AB48">
        <f t="shared" si="10"/>
        <v>0</v>
      </c>
      <c r="AC48" s="329">
        <f t="shared" si="6"/>
        <v>0</v>
      </c>
      <c r="AD48" s="329">
        <f t="shared" si="3"/>
        <v>605.28</v>
      </c>
    </row>
    <row r="49" spans="1:30" outlineLevel="2">
      <c r="A49">
        <v>6091</v>
      </c>
      <c r="B49">
        <v>10</v>
      </c>
      <c r="C49" t="s">
        <v>447</v>
      </c>
      <c r="K49">
        <f t="shared" si="1"/>
        <v>0</v>
      </c>
      <c r="Y49" s="329">
        <f t="shared" si="2"/>
        <v>0</v>
      </c>
      <c r="AC49" s="329">
        <f t="shared" si="6"/>
        <v>0</v>
      </c>
      <c r="AD49" s="329">
        <f t="shared" si="3"/>
        <v>0</v>
      </c>
    </row>
    <row r="50" spans="1:30" outlineLevel="2">
      <c r="A50">
        <v>6091</v>
      </c>
      <c r="B50">
        <v>12</v>
      </c>
      <c r="C50" t="s">
        <v>448</v>
      </c>
      <c r="K50">
        <f t="shared" si="1"/>
        <v>0</v>
      </c>
      <c r="Y50" s="329">
        <f t="shared" si="2"/>
        <v>0</v>
      </c>
      <c r="AC50" s="329">
        <f t="shared" si="6"/>
        <v>0</v>
      </c>
      <c r="AD50" s="329">
        <f t="shared" si="3"/>
        <v>0</v>
      </c>
    </row>
    <row r="51" spans="1:30" outlineLevel="2">
      <c r="C51" t="s">
        <v>283</v>
      </c>
      <c r="K51">
        <f t="shared" si="1"/>
        <v>0</v>
      </c>
      <c r="Y51" s="329">
        <f t="shared" si="2"/>
        <v>0</v>
      </c>
      <c r="AC51" s="329">
        <f t="shared" si="6"/>
        <v>0</v>
      </c>
      <c r="AD51" s="329">
        <f t="shared" si="3"/>
        <v>0</v>
      </c>
    </row>
    <row r="52" spans="1:30" outlineLevel="1">
      <c r="D52">
        <f>SUM(D49:D51)</f>
        <v>0</v>
      </c>
      <c r="E52">
        <f t="shared" ref="E52:AB52" si="11">SUM(E49:E51)</f>
        <v>0</v>
      </c>
      <c r="F52">
        <f t="shared" si="11"/>
        <v>0</v>
      </c>
      <c r="G52">
        <f t="shared" si="11"/>
        <v>0</v>
      </c>
      <c r="H52">
        <f t="shared" si="11"/>
        <v>0</v>
      </c>
      <c r="I52">
        <f t="shared" si="11"/>
        <v>0</v>
      </c>
      <c r="J52">
        <f t="shared" si="11"/>
        <v>0</v>
      </c>
      <c r="K52">
        <f t="shared" si="1"/>
        <v>0</v>
      </c>
      <c r="L52">
        <f t="shared" si="11"/>
        <v>0</v>
      </c>
      <c r="M52">
        <f t="shared" si="11"/>
        <v>0</v>
      </c>
      <c r="N52">
        <f t="shared" si="11"/>
        <v>0</v>
      </c>
      <c r="O52">
        <f t="shared" si="11"/>
        <v>0</v>
      </c>
      <c r="P52">
        <f t="shared" si="11"/>
        <v>0</v>
      </c>
      <c r="Q52">
        <f t="shared" si="11"/>
        <v>0</v>
      </c>
      <c r="R52">
        <f t="shared" si="11"/>
        <v>0</v>
      </c>
      <c r="S52">
        <f t="shared" si="11"/>
        <v>0</v>
      </c>
      <c r="T52">
        <f t="shared" si="11"/>
        <v>0</v>
      </c>
      <c r="U52">
        <f t="shared" si="11"/>
        <v>0</v>
      </c>
      <c r="V52">
        <f t="shared" si="11"/>
        <v>0</v>
      </c>
      <c r="W52">
        <f t="shared" si="11"/>
        <v>0</v>
      </c>
      <c r="X52">
        <f t="shared" si="11"/>
        <v>0</v>
      </c>
      <c r="Y52" s="329">
        <f t="shared" si="2"/>
        <v>0</v>
      </c>
      <c r="Z52">
        <f t="shared" si="11"/>
        <v>0</v>
      </c>
      <c r="AA52">
        <f t="shared" si="11"/>
        <v>0</v>
      </c>
      <c r="AB52">
        <f t="shared" si="11"/>
        <v>0</v>
      </c>
      <c r="AC52" s="329">
        <f t="shared" si="6"/>
        <v>0</v>
      </c>
      <c r="AD52" s="329">
        <f t="shared" si="3"/>
        <v>0</v>
      </c>
    </row>
    <row r="53" spans="1:30" s="328" customFormat="1">
      <c r="C53" s="328" t="s">
        <v>450</v>
      </c>
      <c r="D53" s="331">
        <f t="shared" ref="D53:J53" si="12">SUM(D16,D17,D25,,D28,D35,D36,D41,D42,D48,D52)</f>
        <v>150.08000000000001</v>
      </c>
      <c r="E53" s="331">
        <f t="shared" si="12"/>
        <v>29</v>
      </c>
      <c r="F53" s="331">
        <f t="shared" si="12"/>
        <v>555.26</v>
      </c>
      <c r="G53" s="331">
        <f t="shared" si="12"/>
        <v>100.75999999999999</v>
      </c>
      <c r="H53" s="331">
        <f t="shared" si="12"/>
        <v>57.5</v>
      </c>
      <c r="I53" s="331">
        <f t="shared" si="12"/>
        <v>57.5</v>
      </c>
      <c r="J53" s="331">
        <f t="shared" si="12"/>
        <v>220.05</v>
      </c>
      <c r="K53" s="328">
        <f t="shared" si="1"/>
        <v>1170.1500000000001</v>
      </c>
      <c r="L53" s="331">
        <f t="shared" ref="L53:AA53" si="13">SUM(L16,L17,L25,,L28,L35,L36,L41,L42,L48,L52)</f>
        <v>3592.28</v>
      </c>
      <c r="M53" s="331">
        <f t="shared" si="13"/>
        <v>34.9</v>
      </c>
      <c r="N53" s="331">
        <f t="shared" si="13"/>
        <v>28.5</v>
      </c>
      <c r="O53" s="331">
        <f t="shared" si="13"/>
        <v>7.71</v>
      </c>
      <c r="P53" s="331">
        <f t="shared" si="13"/>
        <v>95</v>
      </c>
      <c r="Q53" s="331">
        <f t="shared" si="13"/>
        <v>47.5</v>
      </c>
      <c r="R53" s="331">
        <f t="shared" si="13"/>
        <v>57.48</v>
      </c>
      <c r="S53" s="331">
        <f t="shared" si="13"/>
        <v>809.61</v>
      </c>
      <c r="T53" s="331">
        <f t="shared" si="13"/>
        <v>8.4700000000000006</v>
      </c>
      <c r="U53" s="331">
        <f t="shared" si="13"/>
        <v>89.49</v>
      </c>
      <c r="V53" s="331">
        <f t="shared" si="13"/>
        <v>9.5</v>
      </c>
      <c r="W53" s="331">
        <f t="shared" si="13"/>
        <v>53.87</v>
      </c>
      <c r="X53" s="331">
        <f t="shared" si="13"/>
        <v>19</v>
      </c>
      <c r="Y53" s="331">
        <f t="shared" si="2"/>
        <v>4853.3100000000004</v>
      </c>
      <c r="Z53" s="331">
        <f t="shared" si="13"/>
        <v>826.56</v>
      </c>
      <c r="AA53" s="331">
        <f t="shared" si="13"/>
        <v>165.86</v>
      </c>
      <c r="AC53" s="331">
        <f t="shared" si="6"/>
        <v>992.42</v>
      </c>
      <c r="AD53" s="331">
        <f t="shared" si="3"/>
        <v>7015.880000000001</v>
      </c>
    </row>
    <row r="54" spans="1:30" outlineLevel="1">
      <c r="A54">
        <v>3</v>
      </c>
      <c r="C54" t="s">
        <v>270</v>
      </c>
      <c r="AC54" s="329">
        <f t="shared" si="6"/>
        <v>0</v>
      </c>
      <c r="AD54" s="329">
        <f t="shared" si="3"/>
        <v>0</v>
      </c>
    </row>
    <row r="55" spans="1:30" outlineLevel="2">
      <c r="A55">
        <v>6011</v>
      </c>
      <c r="B55">
        <v>5</v>
      </c>
      <c r="C55" t="s">
        <v>423</v>
      </c>
      <c r="AC55" s="329">
        <f t="shared" si="6"/>
        <v>0</v>
      </c>
      <c r="AD55" s="329">
        <f t="shared" si="3"/>
        <v>0</v>
      </c>
    </row>
    <row r="56" spans="1:30" outlineLevel="2">
      <c r="A56">
        <v>6011</v>
      </c>
      <c r="B56">
        <v>6</v>
      </c>
      <c r="C56" t="s">
        <v>424</v>
      </c>
      <c r="AC56" s="329">
        <f t="shared" si="6"/>
        <v>0</v>
      </c>
      <c r="AD56" s="329">
        <f t="shared" si="3"/>
        <v>0</v>
      </c>
    </row>
    <row r="57" spans="1:30" outlineLevel="2">
      <c r="A57">
        <v>6011</v>
      </c>
      <c r="B57">
        <v>7</v>
      </c>
      <c r="C57" t="s">
        <v>439</v>
      </c>
      <c r="AC57" s="329">
        <f t="shared" si="6"/>
        <v>0</v>
      </c>
      <c r="AD57" s="329">
        <f t="shared" si="3"/>
        <v>0</v>
      </c>
    </row>
    <row r="58" spans="1:30" outlineLevel="2">
      <c r="A58">
        <v>6011</v>
      </c>
      <c r="B58">
        <v>7</v>
      </c>
      <c r="C58" t="s">
        <v>438</v>
      </c>
      <c r="AC58" s="329">
        <f t="shared" si="6"/>
        <v>0</v>
      </c>
      <c r="AD58" s="329">
        <f t="shared" si="3"/>
        <v>0</v>
      </c>
    </row>
    <row r="59" spans="1:30" outlineLevel="2">
      <c r="A59">
        <v>6011</v>
      </c>
      <c r="B59">
        <v>8</v>
      </c>
      <c r="C59" t="s">
        <v>425</v>
      </c>
      <c r="AC59" s="329">
        <f t="shared" si="6"/>
        <v>0</v>
      </c>
      <c r="AD59" s="329">
        <f t="shared" si="3"/>
        <v>0</v>
      </c>
    </row>
    <row r="60" spans="1:30" outlineLevel="2">
      <c r="A60">
        <v>6011</v>
      </c>
      <c r="AC60" s="329">
        <f t="shared" si="6"/>
        <v>0</v>
      </c>
      <c r="AD60" s="329">
        <f t="shared" si="3"/>
        <v>0</v>
      </c>
    </row>
    <row r="61" spans="1:30" outlineLevel="1">
      <c r="D61">
        <f t="shared" ref="D61:AB61" si="14">SUM(D53:D60)</f>
        <v>150.08000000000001</v>
      </c>
      <c r="E61">
        <f t="shared" si="14"/>
        <v>29</v>
      </c>
      <c r="F61">
        <f t="shared" si="14"/>
        <v>555.26</v>
      </c>
      <c r="G61">
        <f t="shared" si="14"/>
        <v>100.75999999999999</v>
      </c>
      <c r="H61">
        <f t="shared" si="14"/>
        <v>57.5</v>
      </c>
      <c r="I61">
        <f t="shared" si="14"/>
        <v>57.5</v>
      </c>
      <c r="J61">
        <f t="shared" si="14"/>
        <v>220.05</v>
      </c>
      <c r="K61">
        <f t="shared" si="14"/>
        <v>1170.1500000000001</v>
      </c>
      <c r="L61">
        <f t="shared" si="14"/>
        <v>3592.28</v>
      </c>
      <c r="M61">
        <f t="shared" si="14"/>
        <v>34.9</v>
      </c>
      <c r="N61">
        <f t="shared" si="14"/>
        <v>28.5</v>
      </c>
      <c r="O61">
        <f t="shared" si="14"/>
        <v>7.71</v>
      </c>
      <c r="P61">
        <f t="shared" si="14"/>
        <v>95</v>
      </c>
      <c r="Q61">
        <f t="shared" si="14"/>
        <v>47.5</v>
      </c>
      <c r="R61">
        <f t="shared" si="14"/>
        <v>57.48</v>
      </c>
      <c r="S61">
        <f t="shared" si="14"/>
        <v>809.61</v>
      </c>
      <c r="T61">
        <f t="shared" si="14"/>
        <v>8.4700000000000006</v>
      </c>
      <c r="U61">
        <f t="shared" si="14"/>
        <v>89.49</v>
      </c>
      <c r="V61">
        <f t="shared" si="14"/>
        <v>9.5</v>
      </c>
      <c r="W61">
        <f t="shared" si="14"/>
        <v>53.87</v>
      </c>
      <c r="X61">
        <f t="shared" si="14"/>
        <v>19</v>
      </c>
      <c r="Y61">
        <f t="shared" si="14"/>
        <v>4853.3100000000004</v>
      </c>
      <c r="Z61">
        <f t="shared" si="14"/>
        <v>826.56</v>
      </c>
      <c r="AA61">
        <f t="shared" si="14"/>
        <v>165.86</v>
      </c>
      <c r="AB61">
        <f t="shared" si="14"/>
        <v>0</v>
      </c>
      <c r="AC61" s="329">
        <f t="shared" si="6"/>
        <v>992.42</v>
      </c>
      <c r="AD61" s="329">
        <f t="shared" si="3"/>
        <v>7015.880000000001</v>
      </c>
    </row>
    <row r="62" spans="1:30" outlineLevel="1">
      <c r="A62">
        <v>5</v>
      </c>
      <c r="C62" t="s">
        <v>307</v>
      </c>
      <c r="AC62" s="329">
        <f t="shared" si="6"/>
        <v>0</v>
      </c>
      <c r="AD62" s="329">
        <f t="shared" si="3"/>
        <v>0</v>
      </c>
    </row>
    <row r="63" spans="1:30" outlineLevel="1">
      <c r="AC63" s="329">
        <f t="shared" si="6"/>
        <v>0</v>
      </c>
      <c r="AD63" s="329">
        <f t="shared" si="3"/>
        <v>0</v>
      </c>
    </row>
    <row r="64" spans="1:30" outlineLevel="1">
      <c r="AC64" s="329">
        <f t="shared" si="6"/>
        <v>0</v>
      </c>
      <c r="AD64" s="329">
        <f t="shared" si="3"/>
        <v>0</v>
      </c>
    </row>
    <row r="65" spans="1:30" outlineLevel="1">
      <c r="A65">
        <v>6</v>
      </c>
      <c r="B65" t="s">
        <v>422</v>
      </c>
      <c r="C65" t="s">
        <v>308</v>
      </c>
      <c r="AC65" s="329">
        <f t="shared" si="6"/>
        <v>0</v>
      </c>
      <c r="AD65" s="329">
        <f t="shared" si="3"/>
        <v>0</v>
      </c>
    </row>
    <row r="66" spans="1:30" outlineLevel="1">
      <c r="A66">
        <v>6011</v>
      </c>
      <c r="B66">
        <v>9</v>
      </c>
      <c r="C66" s="328" t="s">
        <v>449</v>
      </c>
      <c r="F66">
        <v>27.56</v>
      </c>
      <c r="G66">
        <v>5.24</v>
      </c>
      <c r="K66">
        <f>SUM(D66:J66)</f>
        <v>32.799999999999997</v>
      </c>
      <c r="L66">
        <v>77.37</v>
      </c>
      <c r="R66">
        <v>57.48</v>
      </c>
      <c r="S66">
        <v>804.24</v>
      </c>
      <c r="U66">
        <v>3.49</v>
      </c>
      <c r="Y66">
        <f>SUM(L66:X66)</f>
        <v>942.58</v>
      </c>
      <c r="AC66" s="329">
        <f t="shared" si="6"/>
        <v>0</v>
      </c>
      <c r="AD66" s="329">
        <f t="shared" si="3"/>
        <v>975.38</v>
      </c>
    </row>
    <row r="67" spans="1:30" outlineLevel="1">
      <c r="A67">
        <v>6013</v>
      </c>
      <c r="C67" t="s">
        <v>431</v>
      </c>
      <c r="F67">
        <v>262.79000000000002</v>
      </c>
      <c r="K67">
        <f>SUM(D67:J67)</f>
        <v>262.79000000000002</v>
      </c>
      <c r="L67">
        <v>6</v>
      </c>
      <c r="M67">
        <v>5.5</v>
      </c>
      <c r="S67">
        <v>3.67</v>
      </c>
      <c r="U67">
        <v>2</v>
      </c>
      <c r="Y67">
        <f>SUM(L67:X67)</f>
        <v>17.170000000000002</v>
      </c>
      <c r="AC67" s="329">
        <f t="shared" si="6"/>
        <v>0</v>
      </c>
      <c r="AD67" s="329">
        <f t="shared" si="3"/>
        <v>279.96000000000004</v>
      </c>
    </row>
    <row r="68" spans="1:30" outlineLevel="1">
      <c r="A68">
        <v>6013</v>
      </c>
      <c r="C68" t="s">
        <v>432</v>
      </c>
      <c r="F68">
        <v>53.07</v>
      </c>
      <c r="K68">
        <f>SUM(D68:J68)</f>
        <v>53.07</v>
      </c>
      <c r="L68">
        <v>1088.8</v>
      </c>
      <c r="M68">
        <v>10.4</v>
      </c>
      <c r="S68">
        <v>1.7</v>
      </c>
      <c r="T68">
        <v>8.4700000000000006</v>
      </c>
      <c r="Y68">
        <f>SUM(L68:X68)</f>
        <v>1109.3700000000001</v>
      </c>
      <c r="AC68" s="329">
        <f t="shared" si="6"/>
        <v>0</v>
      </c>
      <c r="AD68" s="329">
        <f t="shared" si="3"/>
        <v>1162.44</v>
      </c>
    </row>
    <row r="69" spans="1:30" outlineLevel="1">
      <c r="A69">
        <v>6013</v>
      </c>
      <c r="B69">
        <v>7</v>
      </c>
      <c r="C69" t="s">
        <v>434</v>
      </c>
      <c r="AC69" s="329">
        <f t="shared" si="6"/>
        <v>0</v>
      </c>
      <c r="AD69" s="329">
        <f t="shared" si="3"/>
        <v>0</v>
      </c>
    </row>
    <row r="70" spans="1:30" outlineLevel="1">
      <c r="A70">
        <v>6013</v>
      </c>
      <c r="B70">
        <v>6</v>
      </c>
      <c r="C70" t="s">
        <v>435</v>
      </c>
      <c r="AC70" s="329">
        <f t="shared" si="6"/>
        <v>0</v>
      </c>
      <c r="AD70" s="329">
        <f t="shared" si="3"/>
        <v>0</v>
      </c>
    </row>
    <row r="71" spans="1:30" outlineLevel="1">
      <c r="C71" s="328" t="s">
        <v>449</v>
      </c>
      <c r="D71">
        <f t="shared" ref="D71:AB71" si="15">SUM(D66:D70)</f>
        <v>0</v>
      </c>
      <c r="E71">
        <f t="shared" si="15"/>
        <v>0</v>
      </c>
      <c r="F71">
        <f t="shared" si="15"/>
        <v>343.42</v>
      </c>
      <c r="G71">
        <f t="shared" si="15"/>
        <v>5.24</v>
      </c>
      <c r="H71">
        <f t="shared" si="15"/>
        <v>0</v>
      </c>
      <c r="I71">
        <f t="shared" si="15"/>
        <v>0</v>
      </c>
      <c r="J71">
        <f t="shared" si="15"/>
        <v>0</v>
      </c>
      <c r="K71">
        <f t="shared" si="15"/>
        <v>348.66</v>
      </c>
      <c r="L71">
        <f t="shared" si="15"/>
        <v>1172.17</v>
      </c>
      <c r="M71">
        <f t="shared" si="15"/>
        <v>15.9</v>
      </c>
      <c r="N71">
        <f t="shared" si="15"/>
        <v>0</v>
      </c>
      <c r="O71">
        <f t="shared" si="15"/>
        <v>0</v>
      </c>
      <c r="P71">
        <f t="shared" si="15"/>
        <v>0</v>
      </c>
      <c r="Q71">
        <f t="shared" si="15"/>
        <v>0</v>
      </c>
      <c r="R71">
        <f t="shared" si="15"/>
        <v>57.48</v>
      </c>
      <c r="S71">
        <f t="shared" si="15"/>
        <v>809.61</v>
      </c>
      <c r="T71">
        <f t="shared" si="15"/>
        <v>8.4700000000000006</v>
      </c>
      <c r="U71">
        <f t="shared" si="15"/>
        <v>5.49</v>
      </c>
      <c r="V71">
        <f t="shared" si="15"/>
        <v>0</v>
      </c>
      <c r="W71">
        <f t="shared" si="15"/>
        <v>0</v>
      </c>
      <c r="X71">
        <f t="shared" si="15"/>
        <v>0</v>
      </c>
      <c r="Y71">
        <f t="shared" si="15"/>
        <v>2069.12</v>
      </c>
      <c r="Z71">
        <f t="shared" si="15"/>
        <v>0</v>
      </c>
      <c r="AA71">
        <f t="shared" si="15"/>
        <v>0</v>
      </c>
      <c r="AB71">
        <f t="shared" si="15"/>
        <v>0</v>
      </c>
      <c r="AC71" s="329">
        <f t="shared" si="6"/>
        <v>0</v>
      </c>
      <c r="AD71" s="329">
        <f t="shared" ref="AD71:AD132" si="16">SUM(K71,Y71,AC71)</f>
        <v>2417.7799999999997</v>
      </c>
    </row>
    <row r="72" spans="1:30" outlineLevel="1">
      <c r="AC72" s="329">
        <f t="shared" si="6"/>
        <v>0</v>
      </c>
      <c r="AD72" s="329">
        <f t="shared" si="16"/>
        <v>0</v>
      </c>
    </row>
    <row r="73" spans="1:30" outlineLevel="1">
      <c r="A73">
        <v>6021</v>
      </c>
      <c r="B73">
        <v>3</v>
      </c>
      <c r="C73" t="s">
        <v>442</v>
      </c>
      <c r="AC73" s="329">
        <f t="shared" si="6"/>
        <v>0</v>
      </c>
      <c r="AD73" s="329">
        <f t="shared" si="16"/>
        <v>0</v>
      </c>
    </row>
    <row r="74" spans="1:30" outlineLevel="1">
      <c r="AC74" s="329">
        <f t="shared" si="6"/>
        <v>0</v>
      </c>
      <c r="AD74" s="329">
        <f t="shared" si="16"/>
        <v>0</v>
      </c>
    </row>
    <row r="75" spans="1:30" outlineLevel="1">
      <c r="C75" t="s">
        <v>305</v>
      </c>
      <c r="AC75" s="329">
        <f t="shared" si="6"/>
        <v>0</v>
      </c>
      <c r="AD75" s="329">
        <f t="shared" si="16"/>
        <v>0</v>
      </c>
    </row>
    <row r="76" spans="1:30" outlineLevel="2">
      <c r="A76">
        <v>6022</v>
      </c>
      <c r="C76" s="255" t="s">
        <v>421</v>
      </c>
      <c r="AC76" s="329">
        <f t="shared" si="6"/>
        <v>0</v>
      </c>
      <c r="AD76" s="329">
        <f t="shared" si="16"/>
        <v>0</v>
      </c>
    </row>
    <row r="77" spans="1:30" outlineLevel="2">
      <c r="A77">
        <v>6022</v>
      </c>
      <c r="B77">
        <v>19</v>
      </c>
      <c r="C77" t="s">
        <v>433</v>
      </c>
      <c r="G77">
        <v>40</v>
      </c>
      <c r="L77">
        <v>40</v>
      </c>
      <c r="Z77">
        <v>0</v>
      </c>
      <c r="AC77" s="329">
        <f t="shared" si="6"/>
        <v>0</v>
      </c>
      <c r="AD77" s="329">
        <f t="shared" si="16"/>
        <v>0</v>
      </c>
    </row>
    <row r="78" spans="1:30" outlineLevel="2">
      <c r="A78">
        <v>6022</v>
      </c>
      <c r="B78">
        <v>33</v>
      </c>
      <c r="C78" t="s">
        <v>430</v>
      </c>
      <c r="P78">
        <v>47.5</v>
      </c>
      <c r="Z78">
        <f>SUM(M78:Y78)</f>
        <v>47.5</v>
      </c>
      <c r="AC78" s="329">
        <f t="shared" si="6"/>
        <v>47.5</v>
      </c>
      <c r="AD78" s="329">
        <f t="shared" si="16"/>
        <v>47.5</v>
      </c>
    </row>
    <row r="79" spans="1:30" outlineLevel="2">
      <c r="A79">
        <v>6022</v>
      </c>
      <c r="B79">
        <v>1</v>
      </c>
      <c r="C79" t="s">
        <v>446</v>
      </c>
      <c r="L79">
        <v>614.82000000000005</v>
      </c>
      <c r="Y79">
        <v>614.82000000000005</v>
      </c>
      <c r="AC79" s="329">
        <f t="shared" si="6"/>
        <v>0</v>
      </c>
      <c r="AD79" s="329">
        <f t="shared" si="16"/>
        <v>614.82000000000005</v>
      </c>
    </row>
    <row r="80" spans="1:30" outlineLevel="2">
      <c r="AC80" s="329">
        <f t="shared" ref="AC80:AC99" si="17">SUM(Z80:AB80)</f>
        <v>0</v>
      </c>
      <c r="AD80" s="329">
        <f t="shared" si="16"/>
        <v>0</v>
      </c>
    </row>
    <row r="81" spans="1:30" outlineLevel="1">
      <c r="C81" t="s">
        <v>305</v>
      </c>
      <c r="D81">
        <f t="shared" ref="D81:AB81" si="18">SUM(D76:D80)</f>
        <v>0</v>
      </c>
      <c r="E81">
        <f t="shared" si="18"/>
        <v>0</v>
      </c>
      <c r="F81">
        <f t="shared" si="18"/>
        <v>0</v>
      </c>
      <c r="G81">
        <f t="shared" si="18"/>
        <v>40</v>
      </c>
      <c r="H81">
        <f t="shared" si="18"/>
        <v>0</v>
      </c>
      <c r="I81">
        <f t="shared" si="18"/>
        <v>0</v>
      </c>
      <c r="J81">
        <f t="shared" si="18"/>
        <v>0</v>
      </c>
      <c r="K81">
        <f t="shared" si="18"/>
        <v>0</v>
      </c>
      <c r="L81">
        <f t="shared" si="18"/>
        <v>654.82000000000005</v>
      </c>
      <c r="M81">
        <f t="shared" si="18"/>
        <v>0</v>
      </c>
      <c r="N81">
        <f t="shared" si="18"/>
        <v>0</v>
      </c>
      <c r="O81">
        <f t="shared" si="18"/>
        <v>0</v>
      </c>
      <c r="P81">
        <f t="shared" si="18"/>
        <v>47.5</v>
      </c>
      <c r="Q81">
        <f t="shared" si="18"/>
        <v>0</v>
      </c>
      <c r="R81">
        <f t="shared" si="18"/>
        <v>0</v>
      </c>
      <c r="S81">
        <f t="shared" si="18"/>
        <v>0</v>
      </c>
      <c r="T81">
        <f t="shared" si="18"/>
        <v>0</v>
      </c>
      <c r="U81">
        <f t="shared" si="18"/>
        <v>0</v>
      </c>
      <c r="V81">
        <f t="shared" si="18"/>
        <v>0</v>
      </c>
      <c r="W81">
        <f t="shared" si="18"/>
        <v>0</v>
      </c>
      <c r="X81">
        <f t="shared" si="18"/>
        <v>0</v>
      </c>
      <c r="Y81">
        <f t="shared" si="18"/>
        <v>614.82000000000005</v>
      </c>
      <c r="Z81">
        <f t="shared" si="18"/>
        <v>47.5</v>
      </c>
      <c r="AA81">
        <f t="shared" si="18"/>
        <v>0</v>
      </c>
      <c r="AB81">
        <f t="shared" si="18"/>
        <v>0</v>
      </c>
      <c r="AC81" s="329">
        <f t="shared" si="17"/>
        <v>47.5</v>
      </c>
      <c r="AD81" s="329">
        <f t="shared" si="16"/>
        <v>662.32</v>
      </c>
    </row>
    <row r="82" spans="1:30" outlineLevel="1">
      <c r="A82">
        <v>603</v>
      </c>
      <c r="C82" t="s">
        <v>437</v>
      </c>
      <c r="AC82" s="329">
        <f t="shared" si="17"/>
        <v>0</v>
      </c>
      <c r="AD82" s="329">
        <f t="shared" si="16"/>
        <v>0</v>
      </c>
    </row>
    <row r="83" spans="1:30" outlineLevel="1">
      <c r="C83" t="s">
        <v>426</v>
      </c>
      <c r="AC83" s="329">
        <f t="shared" si="17"/>
        <v>0</v>
      </c>
      <c r="AD83" s="329">
        <f t="shared" si="16"/>
        <v>0</v>
      </c>
    </row>
    <row r="84" spans="1:30" outlineLevel="2">
      <c r="A84">
        <v>604</v>
      </c>
      <c r="C84" t="s">
        <v>426</v>
      </c>
      <c r="AC84" s="329">
        <f t="shared" si="17"/>
        <v>0</v>
      </c>
      <c r="AD84" s="329">
        <f t="shared" si="16"/>
        <v>0</v>
      </c>
    </row>
    <row r="85" spans="1:30" outlineLevel="2">
      <c r="A85">
        <v>604</v>
      </c>
      <c r="C85" t="s">
        <v>427</v>
      </c>
      <c r="AC85" s="329">
        <f t="shared" si="17"/>
        <v>0</v>
      </c>
      <c r="AD85" s="329">
        <f t="shared" si="16"/>
        <v>0</v>
      </c>
    </row>
    <row r="86" spans="1:30" outlineLevel="2">
      <c r="A86">
        <v>604</v>
      </c>
      <c r="C86" t="s">
        <v>428</v>
      </c>
      <c r="AC86" s="329">
        <f t="shared" si="17"/>
        <v>0</v>
      </c>
      <c r="AD86" s="329">
        <f t="shared" si="16"/>
        <v>0</v>
      </c>
    </row>
    <row r="87" spans="1:30" outlineLevel="1">
      <c r="C87" t="s">
        <v>426</v>
      </c>
      <c r="D87">
        <f>SUM(D84:D86)</f>
        <v>0</v>
      </c>
      <c r="AC87" s="329">
        <f t="shared" si="17"/>
        <v>0</v>
      </c>
      <c r="AD87" s="329">
        <f t="shared" si="16"/>
        <v>0</v>
      </c>
    </row>
    <row r="88" spans="1:30" outlineLevel="1">
      <c r="A88">
        <v>605</v>
      </c>
      <c r="C88" t="s">
        <v>429</v>
      </c>
      <c r="AC88" s="329">
        <f t="shared" si="17"/>
        <v>0</v>
      </c>
      <c r="AD88" s="329">
        <f t="shared" si="16"/>
        <v>0</v>
      </c>
    </row>
    <row r="89" spans="1:30" outlineLevel="1">
      <c r="C89" t="s">
        <v>380</v>
      </c>
      <c r="AC89" s="329">
        <f t="shared" si="17"/>
        <v>0</v>
      </c>
      <c r="AD89" s="329">
        <f t="shared" si="16"/>
        <v>0</v>
      </c>
    </row>
    <row r="90" spans="1:30" outlineLevel="2">
      <c r="A90">
        <v>606</v>
      </c>
      <c r="B90">
        <v>9</v>
      </c>
      <c r="C90" t="s">
        <v>436</v>
      </c>
      <c r="AC90" s="329">
        <f t="shared" si="17"/>
        <v>0</v>
      </c>
      <c r="AD90" s="329">
        <f t="shared" si="16"/>
        <v>0</v>
      </c>
    </row>
    <row r="91" spans="1:30" outlineLevel="2">
      <c r="C91" t="s">
        <v>445</v>
      </c>
      <c r="D91">
        <v>10.94</v>
      </c>
      <c r="AC91" s="329">
        <f t="shared" si="17"/>
        <v>0</v>
      </c>
      <c r="AD91" s="329">
        <f t="shared" si="16"/>
        <v>0</v>
      </c>
    </row>
    <row r="92" spans="1:30" outlineLevel="2">
      <c r="A92">
        <v>606</v>
      </c>
      <c r="B92">
        <v>1</v>
      </c>
      <c r="C92" t="s">
        <v>443</v>
      </c>
      <c r="AC92" s="329">
        <f t="shared" si="17"/>
        <v>0</v>
      </c>
      <c r="AD92" s="329">
        <f t="shared" si="16"/>
        <v>0</v>
      </c>
    </row>
    <row r="93" spans="1:30" outlineLevel="2">
      <c r="A93">
        <v>606</v>
      </c>
      <c r="B93">
        <v>3</v>
      </c>
      <c r="C93" t="s">
        <v>444</v>
      </c>
      <c r="D93">
        <v>19.760000000000002</v>
      </c>
      <c r="E93">
        <v>19</v>
      </c>
      <c r="F93">
        <v>28.5</v>
      </c>
      <c r="G93">
        <v>57</v>
      </c>
      <c r="H93">
        <v>47.5</v>
      </c>
      <c r="I93">
        <v>47.5</v>
      </c>
      <c r="J93">
        <v>47.5</v>
      </c>
      <c r="K93">
        <f>SUM(D93:J93)</f>
        <v>266.76</v>
      </c>
      <c r="L93">
        <v>612</v>
      </c>
      <c r="M93">
        <v>19</v>
      </c>
      <c r="N93">
        <v>28.5</v>
      </c>
      <c r="O93">
        <v>7.71</v>
      </c>
      <c r="P93">
        <v>47.5</v>
      </c>
      <c r="Q93">
        <v>47.5</v>
      </c>
      <c r="V93">
        <v>9.5</v>
      </c>
      <c r="W93">
        <v>53.87</v>
      </c>
      <c r="X93">
        <v>19</v>
      </c>
      <c r="Y93">
        <f>SUM(L93:X93)</f>
        <v>844.58</v>
      </c>
      <c r="AC93" s="329">
        <f t="shared" si="17"/>
        <v>0</v>
      </c>
      <c r="AD93" s="329">
        <f t="shared" si="16"/>
        <v>1111.3400000000001</v>
      </c>
    </row>
    <row r="94" spans="1:30" outlineLevel="2">
      <c r="D94">
        <f>SUM(D90:D93)</f>
        <v>30.700000000000003</v>
      </c>
      <c r="AC94" s="329">
        <f t="shared" si="17"/>
        <v>0</v>
      </c>
      <c r="AD94" s="329">
        <f t="shared" si="16"/>
        <v>0</v>
      </c>
    </row>
    <row r="95" spans="1:30" outlineLevel="1">
      <c r="C95" t="s">
        <v>380</v>
      </c>
      <c r="AC95" s="329">
        <f t="shared" si="17"/>
        <v>0</v>
      </c>
      <c r="AD95" s="329">
        <f t="shared" si="16"/>
        <v>0</v>
      </c>
    </row>
    <row r="96" spans="1:30" outlineLevel="2">
      <c r="A96">
        <v>6091</v>
      </c>
      <c r="B96">
        <v>10</v>
      </c>
      <c r="C96" t="s">
        <v>447</v>
      </c>
      <c r="AC96" s="329">
        <f t="shared" si="17"/>
        <v>0</v>
      </c>
      <c r="AD96" s="329">
        <f t="shared" si="16"/>
        <v>0</v>
      </c>
    </row>
    <row r="97" spans="1:30" outlineLevel="2">
      <c r="A97">
        <v>6091</v>
      </c>
      <c r="B97">
        <v>12</v>
      </c>
      <c r="C97" t="s">
        <v>448</v>
      </c>
      <c r="AC97" s="329">
        <f t="shared" si="17"/>
        <v>0</v>
      </c>
      <c r="AD97" s="329">
        <f t="shared" si="16"/>
        <v>0</v>
      </c>
    </row>
    <row r="98" spans="1:30" outlineLevel="2">
      <c r="C98" t="s">
        <v>283</v>
      </c>
      <c r="AC98" s="329">
        <f t="shared" si="17"/>
        <v>0</v>
      </c>
      <c r="AD98" s="329">
        <f t="shared" si="16"/>
        <v>0</v>
      </c>
    </row>
    <row r="99" spans="1:30" outlineLevel="1">
      <c r="D99">
        <f>SUM(D96:D98)</f>
        <v>0</v>
      </c>
      <c r="AC99" s="329">
        <f t="shared" si="17"/>
        <v>0</v>
      </c>
      <c r="AD99" s="329">
        <f t="shared" si="16"/>
        <v>0</v>
      </c>
    </row>
    <row r="100" spans="1:30">
      <c r="C100" t="s">
        <v>451</v>
      </c>
      <c r="K100">
        <f>SUM(K16,K19,K25,K27:K28,K35,K36,K41:K42,K48,K52)</f>
        <v>1170.1500000000001</v>
      </c>
      <c r="AD100" s="329">
        <f t="shared" si="16"/>
        <v>1170.1500000000001</v>
      </c>
    </row>
    <row r="101" spans="1:30">
      <c r="AD101" s="329">
        <f t="shared" si="16"/>
        <v>0</v>
      </c>
    </row>
    <row r="102" spans="1:30">
      <c r="AD102" s="329">
        <f t="shared" si="16"/>
        <v>0</v>
      </c>
    </row>
    <row r="103" spans="1:30">
      <c r="AD103" s="329">
        <f t="shared" si="16"/>
        <v>0</v>
      </c>
    </row>
    <row r="104" spans="1:30">
      <c r="AD104" s="329">
        <f t="shared" si="16"/>
        <v>0</v>
      </c>
    </row>
    <row r="105" spans="1:30">
      <c r="AD105" s="329">
        <f t="shared" si="16"/>
        <v>0</v>
      </c>
    </row>
    <row r="106" spans="1:30">
      <c r="AD106" s="329">
        <f t="shared" si="16"/>
        <v>0</v>
      </c>
    </row>
    <row r="107" spans="1:30">
      <c r="AD107" s="329">
        <f t="shared" si="16"/>
        <v>0</v>
      </c>
    </row>
    <row r="108" spans="1:30">
      <c r="C108" s="264" t="s">
        <v>461</v>
      </c>
      <c r="AD108" s="329">
        <f t="shared" si="16"/>
        <v>0</v>
      </c>
    </row>
    <row r="109" spans="1:30">
      <c r="AD109" s="329">
        <f t="shared" si="16"/>
        <v>0</v>
      </c>
    </row>
    <row r="110" spans="1:30">
      <c r="AD110" s="329">
        <f t="shared" si="16"/>
        <v>0</v>
      </c>
    </row>
    <row r="111" spans="1:30">
      <c r="AD111" s="329">
        <f t="shared" si="16"/>
        <v>0</v>
      </c>
    </row>
    <row r="112" spans="1:30">
      <c r="AD112" s="329">
        <f t="shared" si="16"/>
        <v>0</v>
      </c>
    </row>
    <row r="113" spans="30:30">
      <c r="AD113" s="329">
        <f t="shared" si="16"/>
        <v>0</v>
      </c>
    </row>
    <row r="114" spans="30:30">
      <c r="AD114" s="329">
        <f t="shared" si="16"/>
        <v>0</v>
      </c>
    </row>
    <row r="115" spans="30:30">
      <c r="AD115" s="329">
        <f t="shared" si="16"/>
        <v>0</v>
      </c>
    </row>
    <row r="116" spans="30:30">
      <c r="AD116" s="329">
        <f t="shared" si="16"/>
        <v>0</v>
      </c>
    </row>
    <row r="117" spans="30:30">
      <c r="AD117" s="329">
        <f t="shared" si="16"/>
        <v>0</v>
      </c>
    </row>
    <row r="118" spans="30:30">
      <c r="AD118" s="329">
        <f t="shared" si="16"/>
        <v>0</v>
      </c>
    </row>
    <row r="119" spans="30:30">
      <c r="AD119" s="329">
        <f t="shared" si="16"/>
        <v>0</v>
      </c>
    </row>
    <row r="120" spans="30:30">
      <c r="AD120" s="329">
        <f t="shared" si="16"/>
        <v>0</v>
      </c>
    </row>
    <row r="121" spans="30:30">
      <c r="AD121" s="329">
        <f t="shared" si="16"/>
        <v>0</v>
      </c>
    </row>
    <row r="122" spans="30:30">
      <c r="AD122" s="329">
        <f t="shared" si="16"/>
        <v>0</v>
      </c>
    </row>
    <row r="123" spans="30:30">
      <c r="AD123" s="329">
        <f t="shared" si="16"/>
        <v>0</v>
      </c>
    </row>
    <row r="124" spans="30:30">
      <c r="AD124" s="329">
        <f t="shared" si="16"/>
        <v>0</v>
      </c>
    </row>
    <row r="125" spans="30:30">
      <c r="AD125" s="329">
        <f t="shared" si="16"/>
        <v>0</v>
      </c>
    </row>
    <row r="126" spans="30:30">
      <c r="AD126" s="329">
        <f t="shared" si="16"/>
        <v>0</v>
      </c>
    </row>
    <row r="127" spans="30:30">
      <c r="AD127" s="329">
        <f t="shared" si="16"/>
        <v>0</v>
      </c>
    </row>
    <row r="128" spans="30:30">
      <c r="AD128" s="329">
        <f t="shared" si="16"/>
        <v>0</v>
      </c>
    </row>
    <row r="129" spans="30:30">
      <c r="AD129" s="329">
        <f t="shared" si="16"/>
        <v>0</v>
      </c>
    </row>
    <row r="130" spans="30:30">
      <c r="AD130" s="329">
        <f t="shared" si="16"/>
        <v>0</v>
      </c>
    </row>
    <row r="131" spans="30:30">
      <c r="AD131" s="329">
        <f t="shared" si="16"/>
        <v>0</v>
      </c>
    </row>
    <row r="132" spans="30:30">
      <c r="AD132" s="329">
        <f t="shared" si="16"/>
        <v>0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05"/>
  <sheetViews>
    <sheetView topLeftCell="A3" zoomScale="80" workbookViewId="0">
      <selection activeCell="C91" sqref="C91"/>
    </sheetView>
  </sheetViews>
  <sheetFormatPr defaultRowHeight="12.75"/>
  <cols>
    <col min="1" max="1" width="10.7109375" style="321" customWidth="1"/>
    <col min="2" max="2" width="7.85546875" style="321" customWidth="1"/>
    <col min="3" max="3" width="55.42578125" style="321" customWidth="1"/>
    <col min="4" max="4" width="24.85546875" style="321" bestFit="1" customWidth="1"/>
    <col min="5" max="5" width="10.42578125" style="321" customWidth="1"/>
    <col min="6" max="16384" width="9.140625" style="321"/>
  </cols>
  <sheetData>
    <row r="1" spans="1:6" s="274" customFormat="1">
      <c r="A1" s="627" t="s">
        <v>420</v>
      </c>
      <c r="B1" s="627"/>
      <c r="C1" s="627"/>
      <c r="D1" s="627"/>
      <c r="E1" s="536"/>
      <c r="F1" s="532"/>
    </row>
    <row r="2" spans="1:6" s="274" customFormat="1">
      <c r="A2" s="627" t="s">
        <v>470</v>
      </c>
      <c r="B2" s="627"/>
      <c r="C2" s="627"/>
      <c r="D2" s="627"/>
      <c r="E2" s="529"/>
      <c r="F2" s="532"/>
    </row>
    <row r="3" spans="1:6" s="275" customFormat="1">
      <c r="A3" s="630" t="s">
        <v>415</v>
      </c>
      <c r="B3" s="631"/>
      <c r="C3" s="631"/>
      <c r="D3" s="631"/>
      <c r="E3" s="530"/>
      <c r="F3" s="530"/>
    </row>
    <row r="4" spans="1:6" s="276" customFormat="1">
      <c r="A4" s="630" t="s">
        <v>99</v>
      </c>
      <c r="B4" s="632"/>
      <c r="C4" s="632"/>
      <c r="D4" s="632"/>
      <c r="E4" s="531"/>
      <c r="F4" s="531"/>
    </row>
    <row r="5" spans="1:6" s="277" customFormat="1">
      <c r="A5" s="526"/>
      <c r="B5" s="526"/>
      <c r="C5" s="526"/>
      <c r="D5" s="527" t="s">
        <v>277</v>
      </c>
      <c r="E5" s="531"/>
      <c r="F5" s="528"/>
    </row>
    <row r="6" spans="1:6" s="274" customFormat="1">
      <c r="A6" s="524" t="s">
        <v>278</v>
      </c>
      <c r="B6" s="525">
        <v>2</v>
      </c>
      <c r="C6" s="525">
        <v>3</v>
      </c>
      <c r="D6" s="285">
        <v>4</v>
      </c>
      <c r="E6" s="532"/>
      <c r="F6" s="532"/>
    </row>
    <row r="7" spans="1:6" s="275" customFormat="1" ht="13.5" thickBot="1">
      <c r="A7" s="513" t="s">
        <v>295</v>
      </c>
      <c r="B7" s="513" t="s">
        <v>296</v>
      </c>
      <c r="C7" s="279"/>
      <c r="D7" s="278" t="s">
        <v>297</v>
      </c>
      <c r="E7" s="530"/>
      <c r="F7" s="530"/>
    </row>
    <row r="8" spans="1:6" s="274" customFormat="1" ht="15.75" thickTop="1">
      <c r="A8" s="297" t="s">
        <v>294</v>
      </c>
      <c r="B8" s="280" t="s">
        <v>292</v>
      </c>
      <c r="C8" s="281"/>
      <c r="D8" s="282"/>
      <c r="E8" s="532"/>
      <c r="F8" s="532"/>
    </row>
    <row r="9" spans="1:6" s="274" customFormat="1" ht="13.5">
      <c r="A9" s="284">
        <v>1</v>
      </c>
      <c r="B9" s="628" t="s">
        <v>268</v>
      </c>
      <c r="C9" s="629"/>
      <c r="D9" s="325">
        <f>SUM(D10,D17,D27:D31)</f>
        <v>5575</v>
      </c>
      <c r="E9" s="533"/>
      <c r="F9" s="532"/>
    </row>
    <row r="10" spans="1:6" s="274" customFormat="1">
      <c r="A10" s="284">
        <v>2</v>
      </c>
      <c r="B10" s="284">
        <v>601</v>
      </c>
      <c r="C10" s="285" t="s">
        <v>269</v>
      </c>
      <c r="D10" s="325">
        <f>SUM(D11:D16)</f>
        <v>1181</v>
      </c>
      <c r="E10" s="533"/>
      <c r="F10" s="532"/>
    </row>
    <row r="11" spans="1:6" s="274" customFormat="1">
      <c r="A11" s="284">
        <v>3</v>
      </c>
      <c r="B11" s="284"/>
      <c r="C11" s="286" t="s">
        <v>270</v>
      </c>
      <c r="D11" s="325">
        <v>201</v>
      </c>
      <c r="E11" s="533"/>
      <c r="F11" s="532"/>
    </row>
    <row r="12" spans="1:6" s="274" customFormat="1">
      <c r="A12" s="284">
        <v>4</v>
      </c>
      <c r="B12" s="284"/>
      <c r="C12" s="286" t="s">
        <v>271</v>
      </c>
      <c r="D12" s="325">
        <v>17</v>
      </c>
      <c r="E12" s="533"/>
      <c r="F12" s="532"/>
    </row>
    <row r="13" spans="1:6" s="274" customFormat="1">
      <c r="A13" s="284">
        <f>A12+1</f>
        <v>5</v>
      </c>
      <c r="B13" s="284"/>
      <c r="C13" s="286" t="s">
        <v>307</v>
      </c>
      <c r="D13" s="325">
        <v>190</v>
      </c>
      <c r="E13" s="533"/>
      <c r="F13" s="532"/>
    </row>
    <row r="14" spans="1:6" s="274" customFormat="1">
      <c r="A14" s="284">
        <f t="shared" ref="A14:A44" si="0">A13+1</f>
        <v>6</v>
      </c>
      <c r="B14" s="284"/>
      <c r="C14" s="286" t="s">
        <v>308</v>
      </c>
      <c r="D14" s="325">
        <v>691</v>
      </c>
      <c r="E14" s="533"/>
      <c r="F14" s="532"/>
    </row>
    <row r="15" spans="1:6" s="274" customFormat="1">
      <c r="A15" s="284">
        <f t="shared" si="0"/>
        <v>7</v>
      </c>
      <c r="B15" s="284"/>
      <c r="C15" s="286" t="s">
        <v>310</v>
      </c>
      <c r="D15" s="325">
        <v>0</v>
      </c>
      <c r="E15" s="533"/>
      <c r="F15" s="532"/>
    </row>
    <row r="16" spans="1:6" s="274" customFormat="1">
      <c r="A16" s="284">
        <f t="shared" si="0"/>
        <v>8</v>
      </c>
      <c r="B16" s="284"/>
      <c r="C16" s="286" t="s">
        <v>273</v>
      </c>
      <c r="D16" s="325">
        <v>82</v>
      </c>
      <c r="E16" s="533"/>
      <c r="F16" s="532"/>
    </row>
    <row r="17" spans="1:6" s="274" customFormat="1">
      <c r="A17" s="284">
        <f t="shared" si="0"/>
        <v>9</v>
      </c>
      <c r="B17" s="284">
        <v>602</v>
      </c>
      <c r="C17" s="285" t="s">
        <v>274</v>
      </c>
      <c r="D17" s="325">
        <f>SUM(D18:D26)</f>
        <v>705</v>
      </c>
      <c r="E17" s="533"/>
      <c r="F17" s="532"/>
    </row>
    <row r="18" spans="1:6" s="274" customFormat="1">
      <c r="A18" s="284">
        <f t="shared" si="0"/>
        <v>10</v>
      </c>
      <c r="B18" s="284"/>
      <c r="C18" s="287" t="s">
        <v>303</v>
      </c>
      <c r="D18" s="325">
        <v>266</v>
      </c>
      <c r="E18" s="533"/>
      <c r="F18" s="532"/>
    </row>
    <row r="19" spans="1:6" s="274" customFormat="1">
      <c r="A19" s="284">
        <f t="shared" si="0"/>
        <v>11</v>
      </c>
      <c r="B19" s="284"/>
      <c r="C19" s="287" t="s">
        <v>304</v>
      </c>
      <c r="D19" s="325">
        <v>176</v>
      </c>
      <c r="E19" s="533"/>
      <c r="F19" s="532"/>
    </row>
    <row r="20" spans="1:6" s="274" customFormat="1">
      <c r="A20" s="284">
        <f t="shared" si="0"/>
        <v>12</v>
      </c>
      <c r="B20" s="284"/>
      <c r="C20" s="286" t="s">
        <v>275</v>
      </c>
      <c r="D20" s="325">
        <v>42</v>
      </c>
      <c r="E20" s="533"/>
      <c r="F20" s="532"/>
    </row>
    <row r="21" spans="1:6" s="274" customFormat="1">
      <c r="A21" s="284">
        <f t="shared" si="0"/>
        <v>13</v>
      </c>
      <c r="B21" s="284"/>
      <c r="C21" s="286" t="s">
        <v>381</v>
      </c>
      <c r="D21" s="325">
        <v>0</v>
      </c>
      <c r="E21" s="533"/>
      <c r="F21" s="532"/>
    </row>
    <row r="22" spans="1:6" s="274" customFormat="1">
      <c r="A22" s="284">
        <f t="shared" si="0"/>
        <v>14</v>
      </c>
      <c r="B22" s="284"/>
      <c r="C22" s="286" t="s">
        <v>276</v>
      </c>
      <c r="D22" s="325">
        <v>125</v>
      </c>
      <c r="E22" s="533"/>
      <c r="F22" s="532"/>
    </row>
    <row r="23" spans="1:6" s="274" customFormat="1">
      <c r="A23" s="284">
        <f t="shared" si="0"/>
        <v>15</v>
      </c>
      <c r="B23" s="284"/>
      <c r="C23" s="286" t="s">
        <v>279</v>
      </c>
      <c r="D23" s="325">
        <v>36</v>
      </c>
      <c r="E23" s="533"/>
      <c r="F23" s="532"/>
    </row>
    <row r="24" spans="1:6" s="274" customFormat="1">
      <c r="A24" s="284">
        <f t="shared" si="0"/>
        <v>16</v>
      </c>
      <c r="B24" s="284"/>
      <c r="C24" s="286" t="s">
        <v>416</v>
      </c>
      <c r="D24" s="325">
        <v>0</v>
      </c>
      <c r="E24" s="533"/>
      <c r="F24" s="532"/>
    </row>
    <row r="25" spans="1:6" s="274" customFormat="1">
      <c r="A25" s="284">
        <f t="shared" si="0"/>
        <v>17</v>
      </c>
      <c r="B25" s="284"/>
      <c r="C25" s="286" t="s">
        <v>298</v>
      </c>
      <c r="D25" s="325">
        <v>2</v>
      </c>
      <c r="E25" s="533"/>
      <c r="F25" s="532"/>
    </row>
    <row r="26" spans="1:6" s="274" customFormat="1">
      <c r="A26" s="284">
        <f t="shared" si="0"/>
        <v>18</v>
      </c>
      <c r="B26" s="284"/>
      <c r="C26" s="286" t="s">
        <v>305</v>
      </c>
      <c r="D26" s="325">
        <v>58</v>
      </c>
      <c r="E26" s="533"/>
      <c r="F26" s="532"/>
    </row>
    <row r="27" spans="1:6" s="274" customFormat="1">
      <c r="A27" s="284">
        <f t="shared" si="0"/>
        <v>19</v>
      </c>
      <c r="B27" s="284">
        <v>603</v>
      </c>
      <c r="C27" s="285" t="s">
        <v>280</v>
      </c>
      <c r="D27" s="325">
        <v>968</v>
      </c>
      <c r="E27" s="533"/>
      <c r="F27" s="532"/>
    </row>
    <row r="28" spans="1:6" s="274" customFormat="1">
      <c r="A28" s="284">
        <f t="shared" si="0"/>
        <v>20</v>
      </c>
      <c r="B28" s="284">
        <v>604</v>
      </c>
      <c r="C28" s="285" t="s">
        <v>281</v>
      </c>
      <c r="D28" s="325">
        <v>2048</v>
      </c>
      <c r="E28" s="533"/>
      <c r="F28" s="532"/>
    </row>
    <row r="29" spans="1:6" s="274" customFormat="1">
      <c r="A29" s="284">
        <f t="shared" si="0"/>
        <v>21</v>
      </c>
      <c r="B29" s="284">
        <v>605</v>
      </c>
      <c r="C29" s="285" t="s">
        <v>395</v>
      </c>
      <c r="D29" s="325">
        <v>565</v>
      </c>
      <c r="E29" s="533"/>
      <c r="F29" s="532"/>
    </row>
    <row r="30" spans="1:6" s="274" customFormat="1">
      <c r="A30" s="284">
        <f t="shared" si="0"/>
        <v>22</v>
      </c>
      <c r="B30" s="284">
        <v>606</v>
      </c>
      <c r="C30" s="286" t="s">
        <v>380</v>
      </c>
      <c r="D30" s="325">
        <v>67</v>
      </c>
      <c r="E30" s="533"/>
      <c r="F30" s="532"/>
    </row>
    <row r="31" spans="1:6" s="274" customFormat="1">
      <c r="A31" s="284">
        <f t="shared" si="0"/>
        <v>23</v>
      </c>
      <c r="B31" s="284">
        <v>609</v>
      </c>
      <c r="C31" s="285" t="s">
        <v>100</v>
      </c>
      <c r="D31" s="325">
        <f>SUM(D32:D37)</f>
        <v>41</v>
      </c>
      <c r="E31" s="533"/>
      <c r="F31" s="532"/>
    </row>
    <row r="32" spans="1:6" s="274" customFormat="1">
      <c r="A32" s="284">
        <f t="shared" si="0"/>
        <v>24</v>
      </c>
      <c r="B32" s="284"/>
      <c r="C32" s="287" t="s">
        <v>282</v>
      </c>
      <c r="D32" s="325">
        <v>0</v>
      </c>
      <c r="E32" s="533"/>
      <c r="F32" s="532"/>
    </row>
    <row r="33" spans="1:6" s="274" customFormat="1">
      <c r="A33" s="284">
        <f t="shared" si="0"/>
        <v>25</v>
      </c>
      <c r="B33" s="284"/>
      <c r="C33" s="287" t="s">
        <v>283</v>
      </c>
      <c r="D33" s="325">
        <v>10</v>
      </c>
      <c r="E33" s="533"/>
      <c r="F33" s="532"/>
    </row>
    <row r="34" spans="1:6" s="274" customFormat="1">
      <c r="A34" s="284">
        <f t="shared" si="0"/>
        <v>26</v>
      </c>
      <c r="B34" s="284"/>
      <c r="C34" s="287" t="s">
        <v>299</v>
      </c>
      <c r="D34" s="325">
        <v>0</v>
      </c>
      <c r="E34" s="533"/>
      <c r="F34" s="532"/>
    </row>
    <row r="35" spans="1:6" s="274" customFormat="1">
      <c r="A35" s="284">
        <f t="shared" si="0"/>
        <v>27</v>
      </c>
      <c r="B35" s="284"/>
      <c r="C35" s="287" t="s">
        <v>382</v>
      </c>
      <c r="D35" s="325">
        <v>0</v>
      </c>
      <c r="E35" s="533"/>
      <c r="F35" s="532"/>
    </row>
    <row r="36" spans="1:6" s="274" customFormat="1">
      <c r="A36" s="284">
        <f t="shared" si="0"/>
        <v>28</v>
      </c>
      <c r="B36" s="284"/>
      <c r="C36" s="287" t="s">
        <v>300</v>
      </c>
      <c r="D36" s="325">
        <v>0</v>
      </c>
      <c r="E36" s="550"/>
      <c r="F36" s="532"/>
    </row>
    <row r="37" spans="1:6" s="274" customFormat="1">
      <c r="A37" s="284">
        <f t="shared" si="0"/>
        <v>29</v>
      </c>
      <c r="B37" s="284"/>
      <c r="C37" s="287" t="s">
        <v>32</v>
      </c>
      <c r="D37" s="325">
        <v>31</v>
      </c>
      <c r="E37" s="533"/>
      <c r="F37" s="532"/>
    </row>
    <row r="38" spans="1:6" s="274" customFormat="1" ht="13.5">
      <c r="A38" s="284">
        <f t="shared" si="0"/>
        <v>30</v>
      </c>
      <c r="B38" s="288" t="s">
        <v>284</v>
      </c>
      <c r="C38" s="287"/>
      <c r="D38" s="574">
        <f>SUM(D39,D44:D45)</f>
        <v>21013</v>
      </c>
      <c r="E38" s="533"/>
      <c r="F38" s="532"/>
    </row>
    <row r="39" spans="1:6" s="274" customFormat="1">
      <c r="A39" s="284">
        <f t="shared" si="0"/>
        <v>31</v>
      </c>
      <c r="B39" s="284">
        <v>601</v>
      </c>
      <c r="C39" s="285" t="s">
        <v>269</v>
      </c>
      <c r="D39" s="574">
        <f>SUM(D40:D43)</f>
        <v>17789</v>
      </c>
      <c r="E39" s="533"/>
      <c r="F39" s="532"/>
    </row>
    <row r="40" spans="1:6" s="274" customFormat="1">
      <c r="A40" s="284">
        <f t="shared" si="0"/>
        <v>32</v>
      </c>
      <c r="B40" s="289"/>
      <c r="C40" s="287" t="s">
        <v>285</v>
      </c>
      <c r="D40" s="325">
        <v>16502</v>
      </c>
      <c r="E40" s="533"/>
      <c r="F40" s="532"/>
    </row>
    <row r="41" spans="1:6" s="274" customFormat="1">
      <c r="A41" s="284">
        <f t="shared" si="0"/>
        <v>33</v>
      </c>
      <c r="B41" s="289"/>
      <c r="C41" s="287" t="s">
        <v>286</v>
      </c>
      <c r="D41" s="325">
        <v>207</v>
      </c>
      <c r="E41" s="533"/>
      <c r="F41" s="532"/>
    </row>
    <row r="42" spans="1:6" s="274" customFormat="1">
      <c r="A42" s="284">
        <f t="shared" si="0"/>
        <v>34</v>
      </c>
      <c r="B42" s="289"/>
      <c r="C42" s="287" t="s">
        <v>287</v>
      </c>
      <c r="D42" s="325">
        <v>608</v>
      </c>
      <c r="E42" s="533"/>
      <c r="F42" s="532"/>
    </row>
    <row r="43" spans="1:6" s="274" customFormat="1">
      <c r="A43" s="284">
        <f t="shared" si="0"/>
        <v>35</v>
      </c>
      <c r="B43" s="289"/>
      <c r="C43" s="287" t="s">
        <v>288</v>
      </c>
      <c r="D43" s="325">
        <v>472</v>
      </c>
      <c r="E43" s="533"/>
      <c r="F43" s="532"/>
    </row>
    <row r="44" spans="1:6" s="274" customFormat="1">
      <c r="A44" s="284">
        <f t="shared" si="0"/>
        <v>36</v>
      </c>
      <c r="B44" s="289">
        <v>606</v>
      </c>
      <c r="C44" s="287" t="s">
        <v>472</v>
      </c>
      <c r="D44" s="325">
        <v>326</v>
      </c>
      <c r="E44" s="533"/>
      <c r="F44" s="532"/>
    </row>
    <row r="45" spans="1:6" s="274" customFormat="1">
      <c r="A45" s="560"/>
      <c r="B45" s="561"/>
      <c r="C45" s="562" t="s">
        <v>100</v>
      </c>
      <c r="D45" s="325">
        <f>SUM(D46:D47)</f>
        <v>2898</v>
      </c>
      <c r="E45" s="533"/>
      <c r="F45" s="532"/>
    </row>
    <row r="46" spans="1:6" s="274" customFormat="1">
      <c r="A46" s="560">
        <f>A44+1</f>
        <v>37</v>
      </c>
      <c r="B46" s="625">
        <v>609</v>
      </c>
      <c r="C46" s="563" t="s">
        <v>464</v>
      </c>
      <c r="D46" s="325">
        <v>2034</v>
      </c>
      <c r="E46" s="533"/>
      <c r="F46" s="532"/>
    </row>
    <row r="47" spans="1:6" s="274" customFormat="1">
      <c r="A47" s="560">
        <f>A46+1</f>
        <v>38</v>
      </c>
      <c r="B47" s="626"/>
      <c r="C47" s="563" t="s">
        <v>469</v>
      </c>
      <c r="D47" s="325">
        <v>864</v>
      </c>
      <c r="E47" s="533"/>
      <c r="F47" s="532"/>
    </row>
    <row r="48" spans="1:6" s="274" customFormat="1">
      <c r="A48" s="284"/>
      <c r="B48" s="290" t="s">
        <v>293</v>
      </c>
      <c r="C48" s="298"/>
      <c r="D48" s="325">
        <f>SUM(D9,D38)</f>
        <v>26588</v>
      </c>
      <c r="E48" s="550"/>
      <c r="F48" s="532"/>
    </row>
    <row r="49" spans="1:6" s="274" customFormat="1" ht="15">
      <c r="A49" s="299" t="s">
        <v>1</v>
      </c>
      <c r="B49" s="291" t="s">
        <v>289</v>
      </c>
      <c r="C49" s="292"/>
      <c r="D49" s="325"/>
      <c r="E49" s="533"/>
      <c r="F49" s="532"/>
    </row>
    <row r="50" spans="1:6" s="274" customFormat="1">
      <c r="A50" s="300">
        <v>1</v>
      </c>
      <c r="B50" s="284">
        <v>601</v>
      </c>
      <c r="C50" s="285" t="s">
        <v>269</v>
      </c>
      <c r="D50" s="325">
        <f>SUM(D51:D56)</f>
        <v>77</v>
      </c>
      <c r="E50" s="533"/>
      <c r="F50" s="532"/>
    </row>
    <row r="51" spans="1:6" s="274" customFormat="1">
      <c r="A51" s="284">
        <f t="shared" ref="A51:A75" si="1">SUM(A50)+1</f>
        <v>2</v>
      </c>
      <c r="B51" s="283"/>
      <c r="C51" s="286" t="s">
        <v>290</v>
      </c>
      <c r="D51" s="325">
        <v>52</v>
      </c>
      <c r="E51" s="533"/>
      <c r="F51" s="532"/>
    </row>
    <row r="52" spans="1:6" s="274" customFormat="1">
      <c r="A52" s="284">
        <f t="shared" si="1"/>
        <v>3</v>
      </c>
      <c r="B52" s="283"/>
      <c r="C52" s="286" t="s">
        <v>291</v>
      </c>
      <c r="D52" s="325">
        <v>6</v>
      </c>
      <c r="E52" s="533"/>
      <c r="F52" s="532"/>
    </row>
    <row r="53" spans="1:6" s="274" customFormat="1">
      <c r="A53" s="284">
        <f t="shared" si="1"/>
        <v>4</v>
      </c>
      <c r="B53" s="283"/>
      <c r="C53" s="286" t="s">
        <v>272</v>
      </c>
      <c r="D53" s="325">
        <v>9</v>
      </c>
      <c r="E53" s="533"/>
      <c r="F53" s="532"/>
    </row>
    <row r="54" spans="1:6" s="274" customFormat="1">
      <c r="A54" s="284">
        <f t="shared" si="1"/>
        <v>5</v>
      </c>
      <c r="B54" s="283"/>
      <c r="C54" s="286" t="s">
        <v>271</v>
      </c>
      <c r="D54" s="325">
        <v>0</v>
      </c>
      <c r="E54" s="533"/>
      <c r="F54" s="532"/>
    </row>
    <row r="55" spans="1:6" s="274" customFormat="1">
      <c r="A55" s="284">
        <f t="shared" si="1"/>
        <v>6</v>
      </c>
      <c r="B55" s="283"/>
      <c r="C55" s="286" t="s">
        <v>306</v>
      </c>
      <c r="D55" s="325">
        <v>10</v>
      </c>
      <c r="E55" s="533"/>
      <c r="F55" s="532"/>
    </row>
    <row r="56" spans="1:6" s="274" customFormat="1">
      <c r="A56" s="284">
        <f t="shared" si="1"/>
        <v>7</v>
      </c>
      <c r="B56" s="283"/>
      <c r="C56" s="286" t="s">
        <v>273</v>
      </c>
      <c r="D56" s="325">
        <v>0</v>
      </c>
      <c r="E56" s="533"/>
      <c r="F56" s="532"/>
    </row>
    <row r="57" spans="1:6" s="274" customFormat="1">
      <c r="A57" s="284">
        <f t="shared" si="1"/>
        <v>8</v>
      </c>
      <c r="B57" s="284">
        <v>602</v>
      </c>
      <c r="C57" s="285" t="s">
        <v>274</v>
      </c>
      <c r="D57" s="325">
        <f>SUM(D58:D66)</f>
        <v>169</v>
      </c>
      <c r="E57" s="533"/>
      <c r="F57" s="532"/>
    </row>
    <row r="58" spans="1:6" s="274" customFormat="1">
      <c r="A58" s="284">
        <f t="shared" si="1"/>
        <v>9</v>
      </c>
      <c r="B58" s="284"/>
      <c r="C58" s="287" t="s">
        <v>303</v>
      </c>
      <c r="D58" s="325">
        <v>0</v>
      </c>
      <c r="E58" s="533"/>
      <c r="F58" s="532"/>
    </row>
    <row r="59" spans="1:6" s="274" customFormat="1">
      <c r="A59" s="284">
        <f t="shared" si="1"/>
        <v>10</v>
      </c>
      <c r="B59" s="284"/>
      <c r="C59" s="287" t="s">
        <v>304</v>
      </c>
      <c r="D59" s="325">
        <v>78</v>
      </c>
      <c r="E59" s="533"/>
      <c r="F59" s="532"/>
    </row>
    <row r="60" spans="1:6" s="274" customFormat="1">
      <c r="A60" s="284">
        <f t="shared" si="1"/>
        <v>11</v>
      </c>
      <c r="B60" s="284"/>
      <c r="C60" s="286" t="s">
        <v>275</v>
      </c>
      <c r="D60" s="325">
        <v>5</v>
      </c>
      <c r="E60" s="533"/>
      <c r="F60" s="532"/>
    </row>
    <row r="61" spans="1:6" s="274" customFormat="1">
      <c r="A61" s="284">
        <f t="shared" si="1"/>
        <v>12</v>
      </c>
      <c r="B61" s="284"/>
      <c r="C61" s="286" t="s">
        <v>381</v>
      </c>
      <c r="D61" s="325">
        <v>37</v>
      </c>
      <c r="E61" s="533"/>
      <c r="F61" s="532"/>
    </row>
    <row r="62" spans="1:6" s="274" customFormat="1">
      <c r="A62" s="284">
        <f t="shared" si="1"/>
        <v>13</v>
      </c>
      <c r="B62" s="284"/>
      <c r="C62" s="286" t="s">
        <v>276</v>
      </c>
      <c r="D62" s="325">
        <v>0</v>
      </c>
      <c r="E62" s="533"/>
      <c r="F62" s="532"/>
    </row>
    <row r="63" spans="1:6" s="274" customFormat="1">
      <c r="A63" s="284">
        <f t="shared" si="1"/>
        <v>14</v>
      </c>
      <c r="B63" s="284"/>
      <c r="C63" s="286" t="s">
        <v>279</v>
      </c>
      <c r="D63" s="325">
        <v>15</v>
      </c>
      <c r="E63" s="533"/>
      <c r="F63" s="532"/>
    </row>
    <row r="64" spans="1:6" s="274" customFormat="1">
      <c r="A64" s="284">
        <f t="shared" si="1"/>
        <v>15</v>
      </c>
      <c r="B64" s="284"/>
      <c r="C64" s="286" t="s">
        <v>416</v>
      </c>
      <c r="D64" s="325">
        <v>1</v>
      </c>
      <c r="E64" s="533"/>
      <c r="F64" s="532"/>
    </row>
    <row r="65" spans="1:6" s="274" customFormat="1">
      <c r="A65" s="284">
        <f t="shared" si="1"/>
        <v>16</v>
      </c>
      <c r="B65" s="284"/>
      <c r="C65" s="286" t="s">
        <v>298</v>
      </c>
      <c r="D65" s="325">
        <v>1</v>
      </c>
      <c r="E65" s="533"/>
      <c r="F65" s="532"/>
    </row>
    <row r="66" spans="1:6" s="274" customFormat="1">
      <c r="A66" s="284">
        <f t="shared" si="1"/>
        <v>17</v>
      </c>
      <c r="B66" s="284"/>
      <c r="C66" s="286" t="s">
        <v>305</v>
      </c>
      <c r="D66" s="325">
        <v>32</v>
      </c>
      <c r="E66" s="533"/>
      <c r="F66" s="532"/>
    </row>
    <row r="67" spans="1:6" s="274" customFormat="1">
      <c r="A67" s="284">
        <f t="shared" si="1"/>
        <v>18</v>
      </c>
      <c r="B67" s="284">
        <v>603</v>
      </c>
      <c r="C67" s="285" t="s">
        <v>280</v>
      </c>
      <c r="D67" s="325">
        <v>11</v>
      </c>
      <c r="E67" s="533"/>
      <c r="F67" s="532"/>
    </row>
    <row r="68" spans="1:6" s="274" customFormat="1">
      <c r="A68" s="284">
        <f t="shared" si="1"/>
        <v>19</v>
      </c>
      <c r="B68" s="284">
        <v>604</v>
      </c>
      <c r="C68" s="285" t="s">
        <v>281</v>
      </c>
      <c r="D68" s="325">
        <v>854</v>
      </c>
      <c r="E68" s="533"/>
      <c r="F68" s="532"/>
    </row>
    <row r="69" spans="1:6" s="274" customFormat="1">
      <c r="A69" s="284">
        <f t="shared" si="1"/>
        <v>20</v>
      </c>
      <c r="B69" s="284">
        <v>605</v>
      </c>
      <c r="C69" s="285" t="s">
        <v>395</v>
      </c>
      <c r="D69" s="325">
        <v>160</v>
      </c>
      <c r="E69" s="533"/>
      <c r="F69" s="532"/>
    </row>
    <row r="70" spans="1:6" s="274" customFormat="1">
      <c r="A70" s="284">
        <f t="shared" si="1"/>
        <v>21</v>
      </c>
      <c r="B70" s="284">
        <v>606</v>
      </c>
      <c r="C70" s="286" t="s">
        <v>380</v>
      </c>
      <c r="D70" s="325">
        <v>4</v>
      </c>
      <c r="E70" s="533"/>
      <c r="F70" s="532"/>
    </row>
    <row r="71" spans="1:6" s="274" customFormat="1">
      <c r="A71" s="284">
        <f t="shared" si="1"/>
        <v>22</v>
      </c>
      <c r="B71" s="284">
        <v>609</v>
      </c>
      <c r="C71" s="285" t="s">
        <v>100</v>
      </c>
      <c r="D71" s="325">
        <f>SUM(D72:D75)</f>
        <v>31</v>
      </c>
      <c r="E71" s="533"/>
      <c r="F71" s="532"/>
    </row>
    <row r="72" spans="1:6" s="274" customFormat="1">
      <c r="A72" s="284">
        <f t="shared" si="1"/>
        <v>23</v>
      </c>
      <c r="B72" s="284"/>
      <c r="C72" s="287" t="s">
        <v>282</v>
      </c>
      <c r="D72" s="325">
        <v>0</v>
      </c>
      <c r="E72" s="533"/>
      <c r="F72" s="532"/>
    </row>
    <row r="73" spans="1:6" s="274" customFormat="1">
      <c r="A73" s="284">
        <f t="shared" si="1"/>
        <v>24</v>
      </c>
      <c r="B73" s="284"/>
      <c r="C73" s="287" t="s">
        <v>283</v>
      </c>
      <c r="D73" s="325">
        <v>9</v>
      </c>
      <c r="E73" s="533"/>
      <c r="F73" s="532"/>
    </row>
    <row r="74" spans="1:6" s="274" customFormat="1">
      <c r="A74" s="284">
        <f t="shared" si="1"/>
        <v>25</v>
      </c>
      <c r="B74" s="284"/>
      <c r="C74" s="287" t="s">
        <v>300</v>
      </c>
      <c r="D74" s="325">
        <v>0</v>
      </c>
      <c r="E74" s="533"/>
      <c r="F74" s="532"/>
    </row>
    <row r="75" spans="1:6" s="274" customFormat="1">
      <c r="A75" s="284">
        <f t="shared" si="1"/>
        <v>26</v>
      </c>
      <c r="B75" s="284"/>
      <c r="C75" s="287" t="s">
        <v>32</v>
      </c>
      <c r="D75" s="325">
        <v>22</v>
      </c>
      <c r="E75" s="533"/>
      <c r="F75" s="532"/>
    </row>
    <row r="76" spans="1:6" s="274" customFormat="1">
      <c r="A76" s="284"/>
      <c r="B76" s="293" t="s">
        <v>309</v>
      </c>
      <c r="C76" s="287"/>
      <c r="D76" s="325">
        <f>SUM(D50,D57,D67:D71)</f>
        <v>1306</v>
      </c>
      <c r="E76" s="533"/>
      <c r="F76" s="532"/>
    </row>
    <row r="77" spans="1:6" s="274" customFormat="1" ht="16.5" thickBot="1">
      <c r="A77" s="326"/>
      <c r="B77" s="294" t="s">
        <v>301</v>
      </c>
      <c r="C77" s="295"/>
      <c r="D77" s="326">
        <f>SUM(D76,D48)</f>
        <v>27894</v>
      </c>
      <c r="E77" s="533"/>
      <c r="F77" s="532"/>
    </row>
    <row r="78" spans="1:6" s="274" customFormat="1" ht="13.5" thickTop="1">
      <c r="A78" s="301"/>
      <c r="B78" s="301"/>
      <c r="C78" s="301"/>
      <c r="D78" s="301"/>
      <c r="E78" s="532"/>
    </row>
    <row r="79" spans="1:6" s="274" customFormat="1">
      <c r="A79" s="535" t="s">
        <v>48</v>
      </c>
      <c r="B79" s="302"/>
      <c r="C79" s="296"/>
      <c r="D79" s="303" t="s">
        <v>418</v>
      </c>
      <c r="E79" s="532"/>
      <c r="F79" s="532"/>
    </row>
    <row r="80" spans="1:6" s="274" customFormat="1">
      <c r="A80" s="302"/>
      <c r="B80" s="302"/>
      <c r="C80" s="304" t="s">
        <v>36</v>
      </c>
      <c r="D80" s="301"/>
      <c r="E80" s="532"/>
      <c r="F80" s="532"/>
    </row>
    <row r="81" spans="1:14" s="274" customFormat="1">
      <c r="A81" s="302"/>
      <c r="B81" s="302"/>
      <c r="C81" s="301"/>
      <c r="D81" s="301"/>
      <c r="E81" s="532"/>
      <c r="F81" s="532"/>
    </row>
    <row r="82" spans="1:14" s="274" customFormat="1">
      <c r="A82" s="303" t="s">
        <v>47</v>
      </c>
      <c r="B82" s="302"/>
      <c r="C82" s="296"/>
      <c r="D82" s="303" t="s">
        <v>419</v>
      </c>
      <c r="E82" s="532"/>
      <c r="F82" s="532"/>
    </row>
    <row r="83" spans="1:14" s="274" customFormat="1">
      <c r="A83" s="302"/>
      <c r="B83" s="302"/>
      <c r="C83" s="304" t="s">
        <v>36</v>
      </c>
      <c r="D83" s="301"/>
      <c r="E83" s="532"/>
      <c r="F83" s="532"/>
    </row>
    <row r="84" spans="1:14">
      <c r="F84" s="534"/>
      <c r="M84" s="274"/>
      <c r="N84" s="274"/>
    </row>
    <row r="85" spans="1:14">
      <c r="F85" s="534"/>
      <c r="M85" s="274"/>
      <c r="N85" s="274"/>
    </row>
    <row r="86" spans="1:14">
      <c r="F86" s="534"/>
      <c r="M86" s="274"/>
      <c r="N86" s="274"/>
    </row>
    <row r="87" spans="1:14">
      <c r="C87" s="321">
        <v>601</v>
      </c>
      <c r="D87" s="538">
        <f>SUM(D10,D40:D43,D50)</f>
        <v>19047</v>
      </c>
      <c r="E87" s="321">
        <f>SUM('3_В'!D86)</f>
        <v>346</v>
      </c>
      <c r="F87" s="559">
        <v>1020</v>
      </c>
      <c r="G87" s="540">
        <f>SUM(D87:F87)</f>
        <v>20413</v>
      </c>
      <c r="H87" s="321">
        <v>20413</v>
      </c>
      <c r="I87" s="538">
        <f>+H87-G87</f>
        <v>0</v>
      </c>
      <c r="M87" s="274"/>
      <c r="N87" s="274"/>
    </row>
    <row r="88" spans="1:14">
      <c r="C88" s="321">
        <v>602</v>
      </c>
      <c r="D88" s="538">
        <f>SUM(D17,D57)</f>
        <v>874</v>
      </c>
      <c r="E88" s="321">
        <f>SUM('3_В'!D87)</f>
        <v>83</v>
      </c>
      <c r="F88" s="559">
        <v>94</v>
      </c>
      <c r="G88" s="540">
        <f t="shared" ref="G88:G93" si="2">SUM(D88:F88)</f>
        <v>1051</v>
      </c>
      <c r="H88" s="321">
        <v>1051</v>
      </c>
      <c r="I88" s="538">
        <f t="shared" ref="I88:I93" si="3">+H88-G88</f>
        <v>0</v>
      </c>
      <c r="M88" s="274"/>
      <c r="N88" s="274"/>
    </row>
    <row r="89" spans="1:14">
      <c r="C89" s="321">
        <v>603</v>
      </c>
      <c r="D89" s="538">
        <f>SUM(D27,D67)</f>
        <v>979</v>
      </c>
      <c r="E89" s="321">
        <f>SUM('3_В'!D88)</f>
        <v>153</v>
      </c>
      <c r="F89" s="559">
        <v>29</v>
      </c>
      <c r="G89" s="540">
        <f t="shared" si="2"/>
        <v>1161</v>
      </c>
      <c r="H89" s="321">
        <v>1161</v>
      </c>
      <c r="I89" s="538">
        <f t="shared" si="3"/>
        <v>0</v>
      </c>
      <c r="M89" s="274"/>
      <c r="N89" s="274"/>
    </row>
    <row r="90" spans="1:14">
      <c r="C90" s="321">
        <v>604</v>
      </c>
      <c r="D90" s="538">
        <f>SUM(D28,D68)</f>
        <v>2902</v>
      </c>
      <c r="E90" s="321">
        <f>SUM('3_В'!D89)</f>
        <v>376</v>
      </c>
      <c r="F90" s="559">
        <v>163</v>
      </c>
      <c r="G90" s="540">
        <f t="shared" si="2"/>
        <v>3441</v>
      </c>
      <c r="H90" s="321">
        <v>3441</v>
      </c>
      <c r="I90" s="538">
        <f t="shared" si="3"/>
        <v>0</v>
      </c>
      <c r="M90" s="274"/>
      <c r="N90" s="274"/>
    </row>
    <row r="91" spans="1:14">
      <c r="C91" s="321">
        <v>605</v>
      </c>
      <c r="D91" s="538">
        <f>SUM(D29,D69)</f>
        <v>725</v>
      </c>
      <c r="E91" s="321">
        <f>SUM('3_В'!D90)</f>
        <v>91</v>
      </c>
      <c r="F91" s="559">
        <v>80</v>
      </c>
      <c r="G91" s="540">
        <f t="shared" si="2"/>
        <v>896</v>
      </c>
      <c r="H91" s="321">
        <v>896</v>
      </c>
      <c r="I91" s="538">
        <f t="shared" si="3"/>
        <v>0</v>
      </c>
      <c r="M91" s="274"/>
      <c r="N91" s="274"/>
    </row>
    <row r="92" spans="1:14">
      <c r="C92" s="321">
        <v>606</v>
      </c>
      <c r="D92" s="538">
        <f>SUM(D30,D70,D44)</f>
        <v>397</v>
      </c>
      <c r="E92" s="321">
        <f>SUM('3_В'!D91)</f>
        <v>3</v>
      </c>
      <c r="F92" s="559">
        <v>19</v>
      </c>
      <c r="G92" s="540">
        <f t="shared" si="2"/>
        <v>419</v>
      </c>
      <c r="H92" s="321">
        <v>419</v>
      </c>
      <c r="I92" s="538">
        <f t="shared" si="3"/>
        <v>0</v>
      </c>
      <c r="M92" s="274"/>
      <c r="N92" s="274"/>
    </row>
    <row r="93" spans="1:14">
      <c r="C93" s="321">
        <v>609</v>
      </c>
      <c r="D93" s="538">
        <f>SUM(D31,D71,D45)</f>
        <v>2970</v>
      </c>
      <c r="E93" s="321">
        <f>SUM('3_В'!D92)</f>
        <v>24</v>
      </c>
      <c r="F93" s="559">
        <v>126</v>
      </c>
      <c r="G93" s="540">
        <f t="shared" si="2"/>
        <v>3120</v>
      </c>
      <c r="H93" s="321">
        <v>3120</v>
      </c>
      <c r="I93" s="538">
        <f t="shared" si="3"/>
        <v>0</v>
      </c>
      <c r="M93" s="274"/>
      <c r="N93" s="274"/>
    </row>
    <row r="94" spans="1:14">
      <c r="D94" s="538">
        <f>SUM(D87:D93)</f>
        <v>27894</v>
      </c>
      <c r="E94" s="538">
        <f>SUM(E87:E93)</f>
        <v>1076</v>
      </c>
      <c r="F94" s="538">
        <f>SUM(F87:F93)</f>
        <v>1531</v>
      </c>
      <c r="G94" s="538">
        <f>SUM(G87:G93)</f>
        <v>30501</v>
      </c>
      <c r="H94" s="538">
        <f>SUM(H87:H93)</f>
        <v>30501</v>
      </c>
      <c r="M94" s="274"/>
      <c r="N94" s="274"/>
    </row>
    <row r="95" spans="1:14">
      <c r="C95" s="576" t="s">
        <v>466</v>
      </c>
      <c r="D95" s="321">
        <v>153</v>
      </c>
      <c r="G95" s="321">
        <v>153</v>
      </c>
      <c r="H95" s="321">
        <f>86+67</f>
        <v>153</v>
      </c>
      <c r="M95" s="274"/>
      <c r="N95" s="274"/>
    </row>
    <row r="96" spans="1:14">
      <c r="D96" s="538">
        <f>SUM(D94:D95)</f>
        <v>28047</v>
      </c>
      <c r="G96" s="538">
        <f>SUM(G94:G95)</f>
        <v>30654</v>
      </c>
      <c r="H96" s="538">
        <f>SUM(H94:H95)</f>
        <v>30654</v>
      </c>
    </row>
    <row r="97" spans="6:9">
      <c r="G97" s="538"/>
      <c r="H97" s="538"/>
    </row>
    <row r="99" spans="6:9">
      <c r="F99" s="534"/>
    </row>
    <row r="100" spans="6:9">
      <c r="F100" s="534"/>
      <c r="H100" s="538"/>
      <c r="I100" s="538"/>
    </row>
    <row r="101" spans="6:9">
      <c r="F101" s="534"/>
    </row>
    <row r="102" spans="6:9">
      <c r="F102" s="534"/>
    </row>
    <row r="103" spans="6:9">
      <c r="F103" s="534"/>
    </row>
    <row r="104" spans="6:9">
      <c r="F104" s="534"/>
    </row>
    <row r="105" spans="6:9">
      <c r="F105" s="534"/>
    </row>
    <row r="106" spans="6:9">
      <c r="F106" s="534"/>
    </row>
    <row r="107" spans="6:9" ht="15.75" customHeight="1">
      <c r="F107" s="534"/>
    </row>
    <row r="108" spans="6:9">
      <c r="F108" s="534"/>
    </row>
    <row r="109" spans="6:9">
      <c r="F109" s="534"/>
    </row>
    <row r="110" spans="6:9">
      <c r="F110" s="534"/>
    </row>
    <row r="111" spans="6:9" ht="15" customHeight="1">
      <c r="F111" s="534"/>
    </row>
    <row r="112" spans="6:9">
      <c r="F112" s="534"/>
    </row>
    <row r="113" spans="6:6">
      <c r="F113" s="534"/>
    </row>
    <row r="114" spans="6:6">
      <c r="F114" s="534"/>
    </row>
    <row r="115" spans="6:6">
      <c r="F115" s="534"/>
    </row>
    <row r="116" spans="6:6">
      <c r="F116" s="534"/>
    </row>
    <row r="117" spans="6:6">
      <c r="F117" s="534"/>
    </row>
    <row r="118" spans="6:6">
      <c r="F118" s="534"/>
    </row>
    <row r="119" spans="6:6">
      <c r="F119" s="534"/>
    </row>
    <row r="120" spans="6:6">
      <c r="F120" s="534"/>
    </row>
    <row r="121" spans="6:6">
      <c r="F121" s="534"/>
    </row>
    <row r="122" spans="6:6">
      <c r="F122" s="534"/>
    </row>
    <row r="123" spans="6:6">
      <c r="F123" s="534"/>
    </row>
    <row r="124" spans="6:6">
      <c r="F124" s="534"/>
    </row>
    <row r="125" spans="6:6">
      <c r="F125" s="534"/>
    </row>
    <row r="126" spans="6:6" ht="15" customHeight="1">
      <c r="F126" s="534"/>
    </row>
    <row r="127" spans="6:6">
      <c r="F127" s="534"/>
    </row>
    <row r="128" spans="6:6">
      <c r="F128" s="534"/>
    </row>
    <row r="129" spans="6:6">
      <c r="F129" s="534"/>
    </row>
    <row r="130" spans="6:6">
      <c r="F130" s="534"/>
    </row>
    <row r="131" spans="6:6">
      <c r="F131" s="534"/>
    </row>
    <row r="132" spans="6:6">
      <c r="F132" s="534"/>
    </row>
    <row r="133" spans="6:6">
      <c r="F133" s="534"/>
    </row>
    <row r="134" spans="6:6">
      <c r="F134" s="534"/>
    </row>
    <row r="135" spans="6:6">
      <c r="F135" s="534"/>
    </row>
    <row r="136" spans="6:6">
      <c r="F136" s="534"/>
    </row>
    <row r="137" spans="6:6">
      <c r="F137" s="534"/>
    </row>
    <row r="138" spans="6:6">
      <c r="F138" s="534"/>
    </row>
    <row r="139" spans="6:6">
      <c r="F139" s="534"/>
    </row>
    <row r="140" spans="6:6">
      <c r="F140" s="534"/>
    </row>
    <row r="141" spans="6:6">
      <c r="F141" s="534"/>
    </row>
    <row r="142" spans="6:6">
      <c r="F142" s="534"/>
    </row>
    <row r="143" spans="6:6">
      <c r="F143" s="534"/>
    </row>
    <row r="144" spans="6:6">
      <c r="F144" s="534"/>
    </row>
    <row r="145" spans="6:6">
      <c r="F145" s="534"/>
    </row>
    <row r="146" spans="6:6">
      <c r="F146" s="534"/>
    </row>
    <row r="147" spans="6:6">
      <c r="F147" s="534"/>
    </row>
    <row r="148" spans="6:6">
      <c r="F148" s="534"/>
    </row>
    <row r="149" spans="6:6">
      <c r="F149" s="534"/>
    </row>
    <row r="150" spans="6:6">
      <c r="F150" s="534"/>
    </row>
    <row r="151" spans="6:6">
      <c r="F151" s="534"/>
    </row>
    <row r="152" spans="6:6">
      <c r="F152" s="534"/>
    </row>
    <row r="153" spans="6:6">
      <c r="F153" s="534"/>
    </row>
    <row r="154" spans="6:6">
      <c r="F154" s="534"/>
    </row>
    <row r="155" spans="6:6">
      <c r="F155" s="534"/>
    </row>
    <row r="156" spans="6:6">
      <c r="F156" s="534"/>
    </row>
    <row r="157" spans="6:6">
      <c r="F157" s="534"/>
    </row>
    <row r="158" spans="6:6">
      <c r="F158" s="534"/>
    </row>
    <row r="159" spans="6:6">
      <c r="F159" s="534"/>
    </row>
    <row r="160" spans="6:6">
      <c r="F160" s="534"/>
    </row>
    <row r="161" spans="6:6">
      <c r="F161" s="534"/>
    </row>
    <row r="162" spans="6:6">
      <c r="F162" s="534"/>
    </row>
    <row r="163" spans="6:6">
      <c r="F163" s="534"/>
    </row>
    <row r="164" spans="6:6">
      <c r="F164" s="534"/>
    </row>
    <row r="165" spans="6:6">
      <c r="F165" s="534"/>
    </row>
    <row r="166" spans="6:6">
      <c r="F166" s="534"/>
    </row>
    <row r="167" spans="6:6">
      <c r="F167" s="534"/>
    </row>
    <row r="168" spans="6:6">
      <c r="F168" s="534"/>
    </row>
    <row r="169" spans="6:6">
      <c r="F169" s="534"/>
    </row>
    <row r="170" spans="6:6">
      <c r="F170" s="534"/>
    </row>
    <row r="171" spans="6:6">
      <c r="F171" s="534"/>
    </row>
    <row r="172" spans="6:6">
      <c r="F172" s="534"/>
    </row>
    <row r="173" spans="6:6">
      <c r="F173" s="534"/>
    </row>
    <row r="174" spans="6:6">
      <c r="F174" s="534"/>
    </row>
    <row r="175" spans="6:6">
      <c r="F175" s="534"/>
    </row>
    <row r="176" spans="6:6">
      <c r="F176" s="534"/>
    </row>
    <row r="177" spans="6:6">
      <c r="F177" s="534"/>
    </row>
    <row r="178" spans="6:6">
      <c r="F178" s="534"/>
    </row>
    <row r="179" spans="6:6">
      <c r="F179" s="534"/>
    </row>
    <row r="180" spans="6:6">
      <c r="F180" s="534"/>
    </row>
    <row r="181" spans="6:6">
      <c r="F181" s="534"/>
    </row>
    <row r="182" spans="6:6">
      <c r="F182" s="534"/>
    </row>
    <row r="183" spans="6:6">
      <c r="F183" s="534"/>
    </row>
    <row r="184" spans="6:6">
      <c r="F184" s="534"/>
    </row>
    <row r="185" spans="6:6">
      <c r="F185" s="534"/>
    </row>
    <row r="186" spans="6:6">
      <c r="F186" s="534"/>
    </row>
    <row r="187" spans="6:6">
      <c r="F187" s="534"/>
    </row>
    <row r="188" spans="6:6">
      <c r="F188" s="534"/>
    </row>
    <row r="189" spans="6:6">
      <c r="F189" s="534"/>
    </row>
    <row r="190" spans="6:6">
      <c r="F190" s="534"/>
    </row>
    <row r="191" spans="6:6">
      <c r="F191" s="534"/>
    </row>
    <row r="192" spans="6:6">
      <c r="F192" s="534"/>
    </row>
    <row r="193" spans="6:6">
      <c r="F193" s="534"/>
    </row>
    <row r="194" spans="6:6">
      <c r="F194" s="534"/>
    </row>
    <row r="195" spans="6:6">
      <c r="F195" s="534"/>
    </row>
    <row r="196" spans="6:6">
      <c r="F196" s="534"/>
    </row>
    <row r="197" spans="6:6">
      <c r="F197" s="534"/>
    </row>
    <row r="198" spans="6:6">
      <c r="F198" s="534"/>
    </row>
    <row r="199" spans="6:6">
      <c r="F199" s="534"/>
    </row>
    <row r="200" spans="6:6">
      <c r="F200" s="534"/>
    </row>
    <row r="201" spans="6:6">
      <c r="F201" s="534"/>
    </row>
    <row r="202" spans="6:6">
      <c r="F202" s="534"/>
    </row>
    <row r="203" spans="6:6">
      <c r="F203" s="534"/>
    </row>
    <row r="204" spans="6:6">
      <c r="F204" s="534"/>
    </row>
    <row r="205" spans="6:6">
      <c r="F205" s="534"/>
    </row>
  </sheetData>
  <mergeCells count="6">
    <mergeCell ref="B46:B47"/>
    <mergeCell ref="A1:D1"/>
    <mergeCell ref="B9:C9"/>
    <mergeCell ref="A2:D2"/>
    <mergeCell ref="A3:D3"/>
    <mergeCell ref="A4:D4"/>
  </mergeCells>
  <phoneticPr fontId="2" type="noConversion"/>
  <printOptions horizontalCentered="1"/>
  <pageMargins left="0.75" right="0.25" top="0.26" bottom="0.3" header="0.5" footer="0.5"/>
  <pageSetup scale="7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58" zoomScale="80" workbookViewId="0">
      <selection activeCell="D68" sqref="D68"/>
    </sheetView>
  </sheetViews>
  <sheetFormatPr defaultRowHeight="12.75"/>
  <cols>
    <col min="1" max="2" width="9.140625" style="255"/>
    <col min="3" max="3" width="59.5703125" style="255" customWidth="1"/>
    <col min="4" max="4" width="24" style="255" bestFit="1" customWidth="1"/>
    <col min="5" max="16384" width="9.140625" style="255"/>
  </cols>
  <sheetData>
    <row r="1" spans="1:5">
      <c r="A1" s="635" t="s">
        <v>420</v>
      </c>
      <c r="B1" s="635"/>
      <c r="C1" s="635"/>
      <c r="D1" s="635"/>
      <c r="E1" s="334"/>
    </row>
    <row r="2" spans="1:5">
      <c r="A2" s="636" t="s">
        <v>470</v>
      </c>
      <c r="B2" s="635"/>
      <c r="C2" s="635"/>
      <c r="D2" s="635"/>
      <c r="E2" s="306"/>
    </row>
    <row r="3" spans="1:5">
      <c r="A3" s="637" t="s">
        <v>98</v>
      </c>
      <c r="B3" s="638"/>
      <c r="C3" s="638"/>
      <c r="D3" s="638"/>
      <c r="E3" s="307"/>
    </row>
    <row r="4" spans="1:5">
      <c r="A4" s="637" t="s">
        <v>417</v>
      </c>
      <c r="B4" s="639"/>
      <c r="C4" s="639"/>
      <c r="D4" s="639"/>
      <c r="E4" s="308"/>
    </row>
    <row r="5" spans="1:5" ht="13.5" thickBot="1">
      <c r="A5" s="308"/>
      <c r="B5" s="308"/>
      <c r="C5" s="308"/>
      <c r="D5" s="309" t="s">
        <v>277</v>
      </c>
      <c r="E5" s="309"/>
    </row>
    <row r="6" spans="1:5" ht="13.5" thickTop="1">
      <c r="A6" s="256" t="s">
        <v>278</v>
      </c>
      <c r="B6" s="257">
        <v>2</v>
      </c>
      <c r="C6" s="257">
        <v>3</v>
      </c>
      <c r="D6" s="257">
        <v>4</v>
      </c>
      <c r="E6" s="322"/>
    </row>
    <row r="7" spans="1:5" ht="13.5" thickBot="1">
      <c r="A7" s="310" t="s">
        <v>295</v>
      </c>
      <c r="B7" s="311" t="s">
        <v>296</v>
      </c>
      <c r="C7" s="312"/>
      <c r="D7" s="311" t="s">
        <v>297</v>
      </c>
      <c r="E7" s="323"/>
    </row>
    <row r="8" spans="1:5" ht="13.5" thickTop="1">
      <c r="A8" s="313" t="s">
        <v>294</v>
      </c>
      <c r="B8" s="314" t="s">
        <v>387</v>
      </c>
      <c r="C8" s="258"/>
      <c r="D8" s="258"/>
      <c r="E8" s="305"/>
    </row>
    <row r="9" spans="1:5">
      <c r="A9" s="259">
        <v>1</v>
      </c>
      <c r="B9" s="633" t="s">
        <v>268</v>
      </c>
      <c r="C9" s="634"/>
      <c r="D9" s="327">
        <f>SUM(D10,D18,D29:D33)</f>
        <v>753</v>
      </c>
      <c r="E9" s="305"/>
    </row>
    <row r="10" spans="1:5">
      <c r="A10" s="259">
        <v>2</v>
      </c>
      <c r="B10" s="260">
        <v>601</v>
      </c>
      <c r="C10" s="261" t="s">
        <v>269</v>
      </c>
      <c r="D10" s="262">
        <f>SUM(D11:D16)</f>
        <v>126</v>
      </c>
      <c r="E10" s="305"/>
    </row>
    <row r="11" spans="1:5">
      <c r="A11" s="259">
        <v>3</v>
      </c>
      <c r="B11" s="260"/>
      <c r="C11" s="263" t="s">
        <v>270</v>
      </c>
      <c r="D11" s="325">
        <v>20</v>
      </c>
      <c r="E11" s="305"/>
    </row>
    <row r="12" spans="1:5">
      <c r="A12" s="259">
        <v>4</v>
      </c>
      <c r="B12" s="260"/>
      <c r="C12" s="263" t="s">
        <v>271</v>
      </c>
      <c r="D12" s="325">
        <v>3</v>
      </c>
      <c r="E12" s="305"/>
    </row>
    <row r="13" spans="1:5">
      <c r="A13" s="259">
        <v>5</v>
      </c>
      <c r="B13" s="260"/>
      <c r="C13" s="263" t="s">
        <v>307</v>
      </c>
      <c r="D13" s="325">
        <v>34</v>
      </c>
      <c r="E13" s="305"/>
    </row>
    <row r="14" spans="1:5">
      <c r="A14" s="259">
        <v>6</v>
      </c>
      <c r="B14" s="260"/>
      <c r="C14" s="263" t="s">
        <v>308</v>
      </c>
      <c r="D14" s="325">
        <v>66</v>
      </c>
      <c r="E14" s="305"/>
    </row>
    <row r="15" spans="1:5">
      <c r="A15" s="259">
        <v>7</v>
      </c>
      <c r="B15" s="260"/>
      <c r="C15" s="263" t="s">
        <v>310</v>
      </c>
      <c r="D15" s="325">
        <v>0</v>
      </c>
      <c r="E15" s="305"/>
    </row>
    <row r="16" spans="1:5">
      <c r="A16" s="259">
        <v>8</v>
      </c>
      <c r="B16" s="260"/>
      <c r="C16" s="263" t="s">
        <v>273</v>
      </c>
      <c r="D16" s="325">
        <v>3</v>
      </c>
      <c r="E16" s="305"/>
    </row>
    <row r="17" spans="1:5">
      <c r="A17" s="259">
        <v>9</v>
      </c>
      <c r="B17" s="260"/>
      <c r="C17" s="263"/>
      <c r="D17" s="262"/>
      <c r="E17" s="305"/>
    </row>
    <row r="18" spans="1:5">
      <c r="A18" s="259">
        <v>10</v>
      </c>
      <c r="B18" s="260">
        <v>602</v>
      </c>
      <c r="C18" s="261" t="s">
        <v>274</v>
      </c>
      <c r="D18" s="262">
        <f>SUM(D19:D27)</f>
        <v>60</v>
      </c>
      <c r="E18" s="305"/>
    </row>
    <row r="19" spans="1:5">
      <c r="A19" s="259">
        <v>11</v>
      </c>
      <c r="B19" s="260"/>
      <c r="C19" s="264" t="s">
        <v>303</v>
      </c>
      <c r="D19" s="325">
        <v>12</v>
      </c>
      <c r="E19" s="305"/>
    </row>
    <row r="20" spans="1:5">
      <c r="A20" s="259">
        <v>12</v>
      </c>
      <c r="B20" s="260"/>
      <c r="C20" s="264" t="s">
        <v>304</v>
      </c>
      <c r="D20" s="325">
        <v>2</v>
      </c>
      <c r="E20" s="305"/>
    </row>
    <row r="21" spans="1:5">
      <c r="A21" s="259">
        <v>13</v>
      </c>
      <c r="B21" s="260"/>
      <c r="C21" s="263" t="s">
        <v>275</v>
      </c>
      <c r="D21" s="325">
        <v>6</v>
      </c>
      <c r="E21" s="305"/>
    </row>
    <row r="22" spans="1:5">
      <c r="A22" s="259">
        <v>14</v>
      </c>
      <c r="B22" s="260"/>
      <c r="C22" s="263" t="s">
        <v>381</v>
      </c>
      <c r="D22" s="325">
        <v>0</v>
      </c>
      <c r="E22" s="305"/>
    </row>
    <row r="23" spans="1:5">
      <c r="A23" s="259">
        <v>16</v>
      </c>
      <c r="B23" s="260"/>
      <c r="C23" s="263" t="s">
        <v>276</v>
      </c>
      <c r="D23" s="325">
        <v>0</v>
      </c>
      <c r="E23" s="305"/>
    </row>
    <row r="24" spans="1:5">
      <c r="A24" s="259">
        <f>SUM(A23)+1</f>
        <v>17</v>
      </c>
      <c r="B24" s="260"/>
      <c r="C24" s="263" t="s">
        <v>279</v>
      </c>
      <c r="D24" s="325">
        <v>0</v>
      </c>
      <c r="E24" s="305"/>
    </row>
    <row r="25" spans="1:5">
      <c r="A25" s="259">
        <f>SUM(A24)+1</f>
        <v>18</v>
      </c>
      <c r="B25" s="260"/>
      <c r="C25" s="263" t="s">
        <v>416</v>
      </c>
      <c r="D25" s="325">
        <v>0</v>
      </c>
      <c r="E25" s="305"/>
    </row>
    <row r="26" spans="1:5">
      <c r="A26" s="259">
        <f t="shared" ref="A26:A44" si="0">SUM(A25)+1</f>
        <v>19</v>
      </c>
      <c r="B26" s="260"/>
      <c r="C26" s="263" t="s">
        <v>298</v>
      </c>
      <c r="D26" s="325">
        <v>0</v>
      </c>
      <c r="E26" s="305"/>
    </row>
    <row r="27" spans="1:5">
      <c r="A27" s="259">
        <f t="shared" si="0"/>
        <v>20</v>
      </c>
      <c r="B27" s="260"/>
      <c r="C27" s="263" t="s">
        <v>305</v>
      </c>
      <c r="D27" s="325">
        <v>40</v>
      </c>
      <c r="E27" s="305"/>
    </row>
    <row r="28" spans="1:5">
      <c r="A28" s="259">
        <f t="shared" si="0"/>
        <v>21</v>
      </c>
      <c r="B28" s="260"/>
      <c r="C28" s="263"/>
      <c r="D28" s="262"/>
      <c r="E28" s="305"/>
    </row>
    <row r="29" spans="1:5">
      <c r="A29" s="259">
        <f t="shared" si="0"/>
        <v>22</v>
      </c>
      <c r="B29" s="260">
        <v>603</v>
      </c>
      <c r="C29" s="261" t="s">
        <v>280</v>
      </c>
      <c r="D29" s="325">
        <v>144</v>
      </c>
      <c r="E29" s="305"/>
    </row>
    <row r="30" spans="1:5">
      <c r="A30" s="259">
        <f t="shared" si="0"/>
        <v>23</v>
      </c>
      <c r="B30" s="260">
        <v>604</v>
      </c>
      <c r="C30" s="261" t="s">
        <v>281</v>
      </c>
      <c r="D30" s="325">
        <v>318</v>
      </c>
      <c r="E30" s="305"/>
    </row>
    <row r="31" spans="1:5">
      <c r="A31" s="259">
        <f t="shared" si="0"/>
        <v>24</v>
      </c>
      <c r="B31" s="260">
        <v>605</v>
      </c>
      <c r="C31" s="261" t="s">
        <v>395</v>
      </c>
      <c r="D31" s="325">
        <v>80</v>
      </c>
      <c r="E31" s="305"/>
    </row>
    <row r="32" spans="1:5">
      <c r="A32" s="259">
        <f t="shared" si="0"/>
        <v>25</v>
      </c>
      <c r="B32" s="260">
        <v>606</v>
      </c>
      <c r="C32" s="263" t="s">
        <v>380</v>
      </c>
      <c r="D32" s="325">
        <v>2</v>
      </c>
      <c r="E32" s="305"/>
    </row>
    <row r="33" spans="1:5">
      <c r="A33" s="259">
        <f t="shared" si="0"/>
        <v>26</v>
      </c>
      <c r="B33" s="260">
        <v>609</v>
      </c>
      <c r="C33" s="261" t="s">
        <v>100</v>
      </c>
      <c r="D33" s="262">
        <f>SUM(D34:D38)</f>
        <v>23</v>
      </c>
      <c r="E33" s="305"/>
    </row>
    <row r="34" spans="1:5">
      <c r="A34" s="259">
        <f t="shared" si="0"/>
        <v>27</v>
      </c>
      <c r="B34" s="260"/>
      <c r="C34" s="264" t="s">
        <v>282</v>
      </c>
      <c r="D34" s="325">
        <v>0</v>
      </c>
      <c r="E34" s="305"/>
    </row>
    <row r="35" spans="1:5">
      <c r="A35" s="259">
        <f t="shared" si="0"/>
        <v>28</v>
      </c>
      <c r="B35" s="260"/>
      <c r="C35" s="264" t="s">
        <v>283</v>
      </c>
      <c r="D35" s="325">
        <v>0</v>
      </c>
      <c r="E35" s="305"/>
    </row>
    <row r="36" spans="1:5">
      <c r="A36" s="259">
        <f t="shared" si="0"/>
        <v>29</v>
      </c>
      <c r="B36" s="260"/>
      <c r="C36" s="264" t="s">
        <v>299</v>
      </c>
      <c r="D36" s="325">
        <v>0</v>
      </c>
      <c r="E36" s="305"/>
    </row>
    <row r="37" spans="1:5">
      <c r="A37" s="259">
        <f t="shared" si="0"/>
        <v>30</v>
      </c>
      <c r="B37" s="260"/>
      <c r="C37" s="264" t="s">
        <v>32</v>
      </c>
      <c r="D37" s="325">
        <v>23</v>
      </c>
      <c r="E37" s="305"/>
    </row>
    <row r="38" spans="1:5">
      <c r="A38" s="259">
        <f t="shared" si="0"/>
        <v>31</v>
      </c>
      <c r="B38" s="260"/>
      <c r="C38" s="264" t="s">
        <v>32</v>
      </c>
      <c r="D38" s="325">
        <v>0</v>
      </c>
      <c r="E38" s="305"/>
    </row>
    <row r="39" spans="1:5">
      <c r="A39" s="259">
        <f t="shared" si="0"/>
        <v>32</v>
      </c>
      <c r="B39" s="265" t="s">
        <v>284</v>
      </c>
      <c r="C39" s="264"/>
      <c r="D39" s="262">
        <f>D40</f>
        <v>218</v>
      </c>
      <c r="E39" s="305"/>
    </row>
    <row r="40" spans="1:5">
      <c r="A40" s="259">
        <f t="shared" si="0"/>
        <v>33</v>
      </c>
      <c r="B40" s="260">
        <v>601</v>
      </c>
      <c r="C40" s="261" t="s">
        <v>269</v>
      </c>
      <c r="D40" s="262">
        <f>SUM(D41:D44)</f>
        <v>218</v>
      </c>
      <c r="E40" s="305"/>
    </row>
    <row r="41" spans="1:5">
      <c r="A41" s="259">
        <f t="shared" si="0"/>
        <v>34</v>
      </c>
      <c r="B41" s="265"/>
      <c r="C41" s="264" t="s">
        <v>383</v>
      </c>
      <c r="D41" s="325">
        <v>0</v>
      </c>
      <c r="E41" s="305"/>
    </row>
    <row r="42" spans="1:5">
      <c r="A42" s="259">
        <f t="shared" si="0"/>
        <v>35</v>
      </c>
      <c r="B42" s="265"/>
      <c r="C42" s="264" t="s">
        <v>385</v>
      </c>
      <c r="D42" s="325">
        <v>218</v>
      </c>
      <c r="E42" s="305"/>
    </row>
    <row r="43" spans="1:5">
      <c r="A43" s="259">
        <f t="shared" si="0"/>
        <v>36</v>
      </c>
      <c r="B43" s="265"/>
      <c r="C43" s="264" t="s">
        <v>384</v>
      </c>
      <c r="D43" s="325">
        <v>0</v>
      </c>
      <c r="E43" s="305"/>
    </row>
    <row r="44" spans="1:5">
      <c r="A44" s="259">
        <f t="shared" si="0"/>
        <v>37</v>
      </c>
      <c r="B44" s="265"/>
      <c r="C44" s="264" t="s">
        <v>273</v>
      </c>
      <c r="D44" s="325">
        <v>0</v>
      </c>
      <c r="E44" s="305"/>
    </row>
    <row r="45" spans="1:5">
      <c r="A45" s="259"/>
      <c r="B45" s="315" t="s">
        <v>386</v>
      </c>
      <c r="C45" s="316"/>
      <c r="D45" s="327">
        <f>SUM(D39,D9)</f>
        <v>971</v>
      </c>
      <c r="E45" s="305"/>
    </row>
    <row r="46" spans="1:5">
      <c r="A46" s="317" t="s">
        <v>1</v>
      </c>
      <c r="B46" s="263" t="s">
        <v>289</v>
      </c>
      <c r="C46" s="262"/>
      <c r="D46" s="262"/>
      <c r="E46" s="305"/>
    </row>
    <row r="47" spans="1:5">
      <c r="A47" s="266">
        <v>1</v>
      </c>
      <c r="B47" s="260">
        <v>601</v>
      </c>
      <c r="C47" s="261" t="s">
        <v>269</v>
      </c>
      <c r="D47" s="262">
        <f>SUM(D48:D53)</f>
        <v>2</v>
      </c>
      <c r="E47" s="305"/>
    </row>
    <row r="48" spans="1:5">
      <c r="A48" s="259">
        <f t="shared" ref="A48:A72" si="1">SUM(A47)+1</f>
        <v>2</v>
      </c>
      <c r="B48" s="262"/>
      <c r="C48" s="263" t="s">
        <v>290</v>
      </c>
      <c r="D48" s="325">
        <v>0</v>
      </c>
      <c r="E48" s="305"/>
    </row>
    <row r="49" spans="1:5">
      <c r="A49" s="259">
        <f t="shared" si="1"/>
        <v>3</v>
      </c>
      <c r="B49" s="262"/>
      <c r="C49" s="263" t="s">
        <v>291</v>
      </c>
      <c r="D49" s="325">
        <v>2</v>
      </c>
      <c r="E49" s="305"/>
    </row>
    <row r="50" spans="1:5">
      <c r="A50" s="259">
        <f t="shared" si="1"/>
        <v>4</v>
      </c>
      <c r="B50" s="262"/>
      <c r="C50" s="263" t="s">
        <v>272</v>
      </c>
      <c r="D50" s="325">
        <v>0</v>
      </c>
      <c r="E50" s="305"/>
    </row>
    <row r="51" spans="1:5">
      <c r="A51" s="259">
        <f t="shared" si="1"/>
        <v>5</v>
      </c>
      <c r="B51" s="262"/>
      <c r="C51" s="263" t="s">
        <v>271</v>
      </c>
      <c r="D51" s="325">
        <v>0</v>
      </c>
      <c r="E51" s="305"/>
    </row>
    <row r="52" spans="1:5">
      <c r="A52" s="259">
        <f t="shared" si="1"/>
        <v>6</v>
      </c>
      <c r="B52" s="262"/>
      <c r="C52" s="263" t="s">
        <v>306</v>
      </c>
      <c r="D52" s="325">
        <v>0</v>
      </c>
      <c r="E52" s="305"/>
    </row>
    <row r="53" spans="1:5">
      <c r="A53" s="259">
        <f t="shared" si="1"/>
        <v>7</v>
      </c>
      <c r="B53" s="262"/>
      <c r="C53" s="263" t="s">
        <v>273</v>
      </c>
      <c r="D53" s="325">
        <v>0</v>
      </c>
      <c r="E53" s="305"/>
    </row>
    <row r="54" spans="1:5">
      <c r="A54" s="259">
        <f t="shared" si="1"/>
        <v>8</v>
      </c>
      <c r="B54" s="260">
        <v>602</v>
      </c>
      <c r="C54" s="261" t="s">
        <v>274</v>
      </c>
      <c r="D54" s="262">
        <f>SUM(D56:D63)</f>
        <v>23</v>
      </c>
      <c r="E54" s="305"/>
    </row>
    <row r="55" spans="1:5">
      <c r="A55" s="259">
        <f t="shared" si="1"/>
        <v>9</v>
      </c>
      <c r="B55" s="260"/>
      <c r="C55" s="264" t="s">
        <v>303</v>
      </c>
      <c r="D55" s="325">
        <v>0</v>
      </c>
      <c r="E55" s="305"/>
    </row>
    <row r="56" spans="1:5">
      <c r="A56" s="259">
        <f t="shared" si="1"/>
        <v>10</v>
      </c>
      <c r="B56" s="260"/>
      <c r="C56" s="264" t="s">
        <v>304</v>
      </c>
      <c r="D56" s="325">
        <v>0</v>
      </c>
      <c r="E56" s="305"/>
    </row>
    <row r="57" spans="1:5">
      <c r="A57" s="259">
        <f t="shared" si="1"/>
        <v>11</v>
      </c>
      <c r="B57" s="260"/>
      <c r="C57" s="263" t="s">
        <v>275</v>
      </c>
      <c r="D57" s="325">
        <v>0</v>
      </c>
      <c r="E57" s="305"/>
    </row>
    <row r="58" spans="1:5">
      <c r="A58" s="259">
        <f t="shared" si="1"/>
        <v>12</v>
      </c>
      <c r="B58" s="260"/>
      <c r="C58" s="263" t="s">
        <v>381</v>
      </c>
      <c r="D58" s="325">
        <v>10</v>
      </c>
      <c r="E58" s="305"/>
    </row>
    <row r="59" spans="1:5">
      <c r="A59" s="259">
        <f t="shared" si="1"/>
        <v>13</v>
      </c>
      <c r="B59" s="260"/>
      <c r="C59" s="263" t="s">
        <v>276</v>
      </c>
      <c r="D59" s="325">
        <v>0</v>
      </c>
      <c r="E59" s="305"/>
    </row>
    <row r="60" spans="1:5">
      <c r="A60" s="259">
        <f t="shared" si="1"/>
        <v>14</v>
      </c>
      <c r="B60" s="260"/>
      <c r="C60" s="263" t="s">
        <v>279</v>
      </c>
      <c r="D60" s="325">
        <v>11</v>
      </c>
      <c r="E60" s="305"/>
    </row>
    <row r="61" spans="1:5">
      <c r="A61" s="259">
        <f t="shared" si="1"/>
        <v>15</v>
      </c>
      <c r="B61" s="260"/>
      <c r="C61" s="263" t="s">
        <v>416</v>
      </c>
      <c r="D61" s="325">
        <v>0</v>
      </c>
      <c r="E61" s="305"/>
    </row>
    <row r="62" spans="1:5">
      <c r="A62" s="259">
        <f t="shared" si="1"/>
        <v>16</v>
      </c>
      <c r="B62" s="260"/>
      <c r="C62" s="263" t="s">
        <v>298</v>
      </c>
      <c r="D62" s="325">
        <v>0</v>
      </c>
      <c r="E62" s="305"/>
    </row>
    <row r="63" spans="1:5">
      <c r="A63" s="259">
        <f t="shared" si="1"/>
        <v>17</v>
      </c>
      <c r="B63" s="260"/>
      <c r="C63" s="263" t="s">
        <v>305</v>
      </c>
      <c r="D63" s="325">
        <v>2</v>
      </c>
      <c r="E63" s="305"/>
    </row>
    <row r="64" spans="1:5">
      <c r="A64" s="259">
        <f t="shared" si="1"/>
        <v>18</v>
      </c>
      <c r="B64" s="260">
        <v>603</v>
      </c>
      <c r="C64" s="261" t="s">
        <v>280</v>
      </c>
      <c r="D64" s="325">
        <v>9</v>
      </c>
      <c r="E64" s="305"/>
    </row>
    <row r="65" spans="1:5">
      <c r="A65" s="259">
        <f t="shared" si="1"/>
        <v>19</v>
      </c>
      <c r="B65" s="260">
        <v>604</v>
      </c>
      <c r="C65" s="261" t="s">
        <v>281</v>
      </c>
      <c r="D65" s="325">
        <v>58</v>
      </c>
      <c r="E65" s="305"/>
    </row>
    <row r="66" spans="1:5">
      <c r="A66" s="259">
        <f t="shared" si="1"/>
        <v>20</v>
      </c>
      <c r="B66" s="260">
        <v>605</v>
      </c>
      <c r="C66" s="261" t="s">
        <v>395</v>
      </c>
      <c r="D66" s="325">
        <v>11</v>
      </c>
      <c r="E66" s="305"/>
    </row>
    <row r="67" spans="1:5">
      <c r="A67" s="259">
        <f t="shared" si="1"/>
        <v>21</v>
      </c>
      <c r="B67" s="260">
        <v>606</v>
      </c>
      <c r="C67" s="263" t="s">
        <v>380</v>
      </c>
      <c r="D67" s="325">
        <v>1</v>
      </c>
      <c r="E67" s="305"/>
    </row>
    <row r="68" spans="1:5">
      <c r="A68" s="259">
        <f t="shared" si="1"/>
        <v>22</v>
      </c>
      <c r="B68" s="260">
        <v>609</v>
      </c>
      <c r="C68" s="261" t="s">
        <v>100</v>
      </c>
      <c r="D68" s="262">
        <f>SUM(D69:D72)</f>
        <v>1</v>
      </c>
      <c r="E68" s="305"/>
    </row>
    <row r="69" spans="1:5">
      <c r="A69" s="259">
        <f t="shared" si="1"/>
        <v>23</v>
      </c>
      <c r="B69" s="260"/>
      <c r="C69" s="264" t="s">
        <v>282</v>
      </c>
      <c r="D69" s="325">
        <v>0</v>
      </c>
      <c r="E69" s="305"/>
    </row>
    <row r="70" spans="1:5">
      <c r="A70" s="259">
        <f t="shared" si="1"/>
        <v>24</v>
      </c>
      <c r="B70" s="260"/>
      <c r="C70" s="264" t="s">
        <v>283</v>
      </c>
      <c r="D70" s="325">
        <v>0</v>
      </c>
      <c r="E70" s="305"/>
    </row>
    <row r="71" spans="1:5">
      <c r="A71" s="259">
        <f t="shared" si="1"/>
        <v>25</v>
      </c>
      <c r="B71" s="260"/>
      <c r="C71" s="264" t="s">
        <v>300</v>
      </c>
      <c r="D71" s="325">
        <v>1</v>
      </c>
      <c r="E71" s="305"/>
    </row>
    <row r="72" spans="1:5">
      <c r="A72" s="259">
        <f t="shared" si="1"/>
        <v>26</v>
      </c>
      <c r="B72" s="260"/>
      <c r="C72" s="264" t="s">
        <v>32</v>
      </c>
      <c r="D72" s="325">
        <v>0</v>
      </c>
      <c r="E72" s="305"/>
    </row>
    <row r="73" spans="1:5">
      <c r="A73" s="259"/>
      <c r="B73" s="318" t="s">
        <v>309</v>
      </c>
      <c r="C73" s="264"/>
      <c r="D73" s="327">
        <f>SUM(D68,D67,D66,D65,D64,D54,D47)</f>
        <v>105</v>
      </c>
      <c r="E73" s="305"/>
    </row>
    <row r="74" spans="1:5" ht="13.5" thickBot="1">
      <c r="A74" s="267"/>
      <c r="B74" s="319" t="s">
        <v>301</v>
      </c>
      <c r="C74" s="268"/>
      <c r="D74" s="268">
        <f>SUM(D73,D45)</f>
        <v>1076</v>
      </c>
      <c r="E74" s="324"/>
    </row>
    <row r="75" spans="1:5" ht="13.5" thickTop="1">
      <c r="A75" s="269"/>
      <c r="B75" s="269"/>
      <c r="C75" s="269"/>
      <c r="D75" s="269"/>
      <c r="E75" s="269"/>
    </row>
    <row r="76" spans="1:5">
      <c r="A76" s="270" t="s">
        <v>48</v>
      </c>
      <c r="B76" s="271"/>
      <c r="C76" s="272"/>
      <c r="D76" s="273" t="s">
        <v>302</v>
      </c>
      <c r="E76" s="273"/>
    </row>
    <row r="77" spans="1:5">
      <c r="A77" s="271"/>
      <c r="B77" s="271"/>
      <c r="C77" s="320" t="s">
        <v>36</v>
      </c>
      <c r="D77" s="269"/>
      <c r="E77" s="269"/>
    </row>
    <row r="78" spans="1:5">
      <c r="A78" s="271"/>
      <c r="B78" s="271"/>
      <c r="C78" s="269"/>
      <c r="D78" s="269"/>
      <c r="E78" s="269"/>
    </row>
    <row r="79" spans="1:5">
      <c r="A79" s="273" t="s">
        <v>47</v>
      </c>
      <c r="B79" s="271"/>
      <c r="C79" s="272"/>
      <c r="D79" s="273" t="s">
        <v>101</v>
      </c>
      <c r="E79" s="273"/>
    </row>
    <row r="80" spans="1:5">
      <c r="A80" s="271"/>
      <c r="B80" s="271"/>
      <c r="C80" s="320" t="s">
        <v>36</v>
      </c>
      <c r="D80" s="269"/>
      <c r="E80" s="269"/>
    </row>
    <row r="81" spans="3:4" ht="27.75" customHeight="1"/>
    <row r="86" spans="3:4">
      <c r="C86" s="321">
        <v>601</v>
      </c>
      <c r="D86" s="255">
        <f>SUM(D10,D40,D47)</f>
        <v>346</v>
      </c>
    </row>
    <row r="87" spans="3:4">
      <c r="C87" s="321">
        <v>602</v>
      </c>
      <c r="D87" s="255">
        <f>SUM(D18,D54)</f>
        <v>83</v>
      </c>
    </row>
    <row r="88" spans="3:4">
      <c r="C88" s="321">
        <v>603</v>
      </c>
      <c r="D88" s="539">
        <f>SUM(,D29,D64)</f>
        <v>153</v>
      </c>
    </row>
    <row r="89" spans="3:4">
      <c r="C89" s="321">
        <v>604</v>
      </c>
      <c r="D89" s="539">
        <f>SUM(,D30,D65)</f>
        <v>376</v>
      </c>
    </row>
    <row r="90" spans="3:4">
      <c r="C90" s="321">
        <v>605</v>
      </c>
      <c r="D90" s="539">
        <f>SUM(D31,D66)</f>
        <v>91</v>
      </c>
    </row>
    <row r="91" spans="3:4">
      <c r="C91" s="321">
        <v>606</v>
      </c>
      <c r="D91" s="539">
        <f>SUM(D32,D67)</f>
        <v>3</v>
      </c>
    </row>
    <row r="92" spans="3:4">
      <c r="C92" s="321">
        <v>609</v>
      </c>
      <c r="D92" s="255">
        <f>SUM(D33,D68)</f>
        <v>24</v>
      </c>
    </row>
    <row r="93" spans="3:4">
      <c r="D93" s="255">
        <f>SUM(D86:D92)</f>
        <v>1076</v>
      </c>
    </row>
  </sheetData>
  <mergeCells count="5">
    <mergeCell ref="B9:C9"/>
    <mergeCell ref="A1:D1"/>
    <mergeCell ref="A2:D2"/>
    <mergeCell ref="A3:D3"/>
    <mergeCell ref="A4:D4"/>
  </mergeCells>
  <phoneticPr fontId="2" type="noConversion"/>
  <pageMargins left="0.37" right="0.75" top="0.22" bottom="0.21" header="0.5" footer="0.25"/>
  <pageSetup scale="74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54"/>
  <sheetViews>
    <sheetView topLeftCell="A28" workbookViewId="0">
      <selection activeCell="H45" sqref="H1:L45"/>
    </sheetView>
  </sheetViews>
  <sheetFormatPr defaultRowHeight="12.75"/>
  <cols>
    <col min="2" max="2" width="12.140625" customWidth="1"/>
    <col min="3" max="3" width="37.5703125" customWidth="1"/>
    <col min="4" max="4" width="17.42578125" customWidth="1"/>
    <col min="5" max="5" width="18" customWidth="1"/>
    <col min="6" max="6" width="19.28515625" customWidth="1"/>
  </cols>
  <sheetData>
    <row r="1" spans="1:11">
      <c r="A1" s="612" t="s">
        <v>420</v>
      </c>
      <c r="B1" s="612"/>
      <c r="C1" s="612"/>
      <c r="D1" s="612"/>
      <c r="E1" s="612"/>
      <c r="F1" s="612"/>
    </row>
    <row r="2" spans="1:11">
      <c r="A2" s="612" t="s">
        <v>470</v>
      </c>
      <c r="B2" s="612"/>
      <c r="C2" s="612"/>
      <c r="D2" s="612"/>
      <c r="E2" s="612"/>
      <c r="F2" s="612"/>
    </row>
    <row r="3" spans="1:11">
      <c r="A3" s="620" t="s">
        <v>240</v>
      </c>
      <c r="B3" s="621"/>
      <c r="C3" s="621"/>
      <c r="D3" s="621"/>
      <c r="E3" s="621"/>
      <c r="F3" s="621"/>
    </row>
    <row r="4" spans="1:11">
      <c r="A4" s="620" t="s">
        <v>49</v>
      </c>
      <c r="B4" s="622"/>
      <c r="C4" s="622"/>
      <c r="D4" s="622"/>
      <c r="E4" s="622"/>
      <c r="F4" s="622"/>
    </row>
    <row r="5" spans="1:11" ht="13.5" thickBot="1">
      <c r="A5" s="336"/>
      <c r="B5" s="337"/>
      <c r="C5" s="335"/>
      <c r="D5" s="335"/>
      <c r="E5" s="335"/>
      <c r="F5" s="335"/>
    </row>
    <row r="6" spans="1:11" ht="13.5" thickTop="1">
      <c r="A6" s="338"/>
      <c r="B6" s="650"/>
      <c r="C6" s="651"/>
      <c r="D6" s="154" t="s">
        <v>236</v>
      </c>
      <c r="E6" s="154" t="s">
        <v>22</v>
      </c>
      <c r="F6" s="155" t="s">
        <v>23</v>
      </c>
    </row>
    <row r="7" spans="1:11">
      <c r="A7" s="156" t="s">
        <v>24</v>
      </c>
      <c r="B7" s="652" t="s">
        <v>50</v>
      </c>
      <c r="C7" s="645"/>
      <c r="D7" s="157" t="s">
        <v>237</v>
      </c>
      <c r="E7" s="157" t="s">
        <v>237</v>
      </c>
      <c r="F7" s="158" t="s">
        <v>27</v>
      </c>
    </row>
    <row r="8" spans="1:11">
      <c r="A8" s="156" t="s">
        <v>28</v>
      </c>
      <c r="B8" s="644"/>
      <c r="C8" s="645"/>
      <c r="D8" s="157" t="s">
        <v>51</v>
      </c>
      <c r="E8" s="157" t="s">
        <v>51</v>
      </c>
      <c r="F8" s="158" t="s">
        <v>51</v>
      </c>
    </row>
    <row r="9" spans="1:11" ht="13.5" thickBot="1">
      <c r="A9" s="339"/>
      <c r="B9" s="646"/>
      <c r="C9" s="647"/>
      <c r="D9" s="159" t="s">
        <v>30</v>
      </c>
      <c r="E9" s="159" t="s">
        <v>30</v>
      </c>
      <c r="F9" s="160" t="s">
        <v>30</v>
      </c>
    </row>
    <row r="10" spans="1:11" ht="13.5" thickTop="1">
      <c r="A10" s="340" t="s">
        <v>52</v>
      </c>
      <c r="B10" s="648" t="s">
        <v>53</v>
      </c>
      <c r="C10" s="649"/>
      <c r="D10" s="341"/>
      <c r="E10" s="341"/>
      <c r="F10" s="342"/>
    </row>
    <row r="11" spans="1:11">
      <c r="A11" s="343" t="s">
        <v>54</v>
      </c>
      <c r="B11" s="640" t="s">
        <v>241</v>
      </c>
      <c r="C11" s="641"/>
      <c r="D11" s="346">
        <f>SUM(D12:D13)</f>
        <v>1875</v>
      </c>
      <c r="E11" s="346">
        <f>SUM(E12:E13)</f>
        <v>1875</v>
      </c>
      <c r="F11" s="347">
        <f>D11-E11</f>
        <v>0</v>
      </c>
    </row>
    <row r="12" spans="1:11">
      <c r="A12" s="348">
        <v>1</v>
      </c>
      <c r="B12" s="349"/>
      <c r="C12" s="350" t="s">
        <v>55</v>
      </c>
      <c r="D12" s="346"/>
      <c r="E12" s="346"/>
      <c r="F12" s="347"/>
      <c r="H12" s="396"/>
      <c r="J12" s="396"/>
    </row>
    <row r="13" spans="1:11">
      <c r="A13" s="348">
        <v>2</v>
      </c>
      <c r="B13" s="349"/>
      <c r="C13" s="351" t="s">
        <v>259</v>
      </c>
      <c r="D13" s="346">
        <v>1875</v>
      </c>
      <c r="E13" s="346">
        <v>1875</v>
      </c>
      <c r="F13" s="347">
        <f>D13-E13</f>
        <v>0</v>
      </c>
    </row>
    <row r="14" spans="1:11">
      <c r="A14" s="343" t="s">
        <v>1</v>
      </c>
      <c r="B14" s="344" t="s">
        <v>56</v>
      </c>
      <c r="C14" s="352"/>
      <c r="D14" s="346">
        <f>SUM(D15:D16)</f>
        <v>1166</v>
      </c>
      <c r="E14" s="346">
        <f>SUM(E15:E16)</f>
        <v>1522</v>
      </c>
      <c r="F14" s="347">
        <f>E14-D14</f>
        <v>356</v>
      </c>
      <c r="H14" s="396"/>
      <c r="K14" s="396"/>
    </row>
    <row r="15" spans="1:11">
      <c r="A15" s="348">
        <v>1</v>
      </c>
      <c r="B15" s="349"/>
      <c r="C15" s="350" t="s">
        <v>55</v>
      </c>
      <c r="D15" s="346">
        <v>160</v>
      </c>
      <c r="E15" s="346">
        <v>148</v>
      </c>
      <c r="F15" s="347">
        <f>E15-D15</f>
        <v>-12</v>
      </c>
    </row>
    <row r="16" spans="1:11">
      <c r="A16" s="348">
        <v>2</v>
      </c>
      <c r="B16" s="349"/>
      <c r="C16" s="351" t="s">
        <v>259</v>
      </c>
      <c r="D16" s="346">
        <v>1006</v>
      </c>
      <c r="E16" s="346">
        <v>1374</v>
      </c>
      <c r="F16" s="347">
        <f>E16-D16</f>
        <v>368</v>
      </c>
    </row>
    <row r="17" spans="1:6">
      <c r="A17" s="343" t="s">
        <v>2</v>
      </c>
      <c r="B17" s="640" t="s">
        <v>313</v>
      </c>
      <c r="C17" s="641"/>
      <c r="D17" s="346">
        <v>1319</v>
      </c>
      <c r="E17" s="346">
        <v>744</v>
      </c>
      <c r="F17" s="347">
        <f>E17-D17</f>
        <v>-575</v>
      </c>
    </row>
    <row r="18" spans="1:6">
      <c r="A18" s="348">
        <v>1</v>
      </c>
      <c r="B18" s="353"/>
      <c r="C18" s="351" t="s">
        <v>260</v>
      </c>
      <c r="D18" s="584"/>
      <c r="E18" s="584"/>
      <c r="F18" s="355"/>
    </row>
    <row r="19" spans="1:6">
      <c r="A19" s="348">
        <v>2</v>
      </c>
      <c r="B19" s="353"/>
      <c r="C19" s="351" t="s">
        <v>320</v>
      </c>
      <c r="D19" s="584"/>
      <c r="E19" s="584"/>
      <c r="F19" s="355"/>
    </row>
    <row r="20" spans="1:6">
      <c r="A20" s="348">
        <v>3</v>
      </c>
      <c r="B20" s="353"/>
      <c r="C20" s="351" t="s">
        <v>261</v>
      </c>
      <c r="D20" s="584"/>
      <c r="E20" s="584"/>
      <c r="F20" s="355"/>
    </row>
    <row r="21" spans="1:6">
      <c r="A21" s="348">
        <v>4</v>
      </c>
      <c r="B21" s="353"/>
      <c r="C21" s="351" t="s">
        <v>262</v>
      </c>
      <c r="D21" s="584"/>
      <c r="E21" s="584"/>
      <c r="F21" s="355"/>
    </row>
    <row r="22" spans="1:6">
      <c r="A22" s="356" t="s">
        <v>57</v>
      </c>
      <c r="B22" s="357" t="s">
        <v>263</v>
      </c>
      <c r="C22" s="358"/>
      <c r="D22" s="584">
        <v>9943</v>
      </c>
      <c r="E22" s="584">
        <v>9442</v>
      </c>
      <c r="F22" s="355">
        <f>E22-D22</f>
        <v>-501</v>
      </c>
    </row>
    <row r="23" spans="1:6">
      <c r="A23" s="356" t="s">
        <v>59</v>
      </c>
      <c r="B23" s="359" t="s">
        <v>58</v>
      </c>
      <c r="C23" s="360"/>
      <c r="D23" s="584">
        <v>172</v>
      </c>
      <c r="E23" s="584">
        <v>101</v>
      </c>
      <c r="F23" s="355">
        <f>E23-D23</f>
        <v>-71</v>
      </c>
    </row>
    <row r="24" spans="1:6">
      <c r="A24" s="356" t="s">
        <v>3</v>
      </c>
      <c r="B24" s="361" t="s">
        <v>393</v>
      </c>
      <c r="C24" s="360"/>
      <c r="D24" s="584">
        <v>21</v>
      </c>
      <c r="E24" s="584">
        <v>17</v>
      </c>
      <c r="F24" s="355">
        <f>E24-D24</f>
        <v>-4</v>
      </c>
    </row>
    <row r="25" spans="1:6">
      <c r="A25" s="356" t="s">
        <v>394</v>
      </c>
      <c r="B25" s="344" t="s">
        <v>60</v>
      </c>
      <c r="C25" s="360"/>
      <c r="D25" s="584">
        <v>7</v>
      </c>
      <c r="E25" s="584">
        <v>3</v>
      </c>
      <c r="F25" s="355">
        <f>E25-D25</f>
        <v>-4</v>
      </c>
    </row>
    <row r="26" spans="1:6">
      <c r="A26" s="362"/>
      <c r="B26" s="642" t="s">
        <v>61</v>
      </c>
      <c r="C26" s="643"/>
      <c r="D26" s="585">
        <f>D11+D14+D17+D22+D23+D24+D25</f>
        <v>14503</v>
      </c>
      <c r="E26" s="585">
        <f>E11+E14+E17+E22+E23+E24+E25</f>
        <v>13704</v>
      </c>
      <c r="F26" s="355">
        <f>E26-D26</f>
        <v>-799</v>
      </c>
    </row>
    <row r="27" spans="1:6">
      <c r="A27" s="363"/>
      <c r="B27" s="353"/>
      <c r="C27" s="364"/>
      <c r="D27" s="584"/>
      <c r="E27" s="584"/>
      <c r="F27" s="355"/>
    </row>
    <row r="28" spans="1:6">
      <c r="A28" s="365" t="s">
        <v>321</v>
      </c>
      <c r="B28" s="344" t="s">
        <v>63</v>
      </c>
      <c r="C28" s="360"/>
      <c r="D28" s="584">
        <v>9</v>
      </c>
      <c r="E28" s="584">
        <v>4</v>
      </c>
      <c r="F28" s="355">
        <f>E28-D28</f>
        <v>-5</v>
      </c>
    </row>
    <row r="29" spans="1:6">
      <c r="A29" s="363"/>
      <c r="B29" s="353"/>
      <c r="C29" s="364"/>
      <c r="D29" s="354"/>
      <c r="E29" s="354"/>
      <c r="F29" s="355"/>
    </row>
    <row r="30" spans="1:6">
      <c r="A30" s="365" t="s">
        <v>62</v>
      </c>
      <c r="B30" s="344" t="s">
        <v>64</v>
      </c>
      <c r="C30" s="360"/>
      <c r="D30" s="354"/>
      <c r="E30" s="354"/>
      <c r="F30" s="355"/>
    </row>
    <row r="31" spans="1:6">
      <c r="A31" s="348"/>
      <c r="B31" s="353"/>
      <c r="C31" s="366" t="s">
        <v>65</v>
      </c>
      <c r="D31" s="354"/>
      <c r="E31" s="354"/>
      <c r="F31" s="355"/>
    </row>
    <row r="32" spans="1:6">
      <c r="A32" s="363"/>
      <c r="B32" s="353"/>
      <c r="C32" s="367"/>
      <c r="D32" s="354"/>
      <c r="E32" s="354"/>
      <c r="F32" s="355"/>
    </row>
    <row r="33" spans="1:11">
      <c r="A33" s="365" t="s">
        <v>322</v>
      </c>
      <c r="B33" s="344" t="s">
        <v>66</v>
      </c>
      <c r="C33" s="368"/>
      <c r="D33" s="354"/>
      <c r="E33" s="354"/>
      <c r="F33" s="355"/>
    </row>
    <row r="34" spans="1:11" ht="13.5" thickBot="1">
      <c r="A34" s="363"/>
      <c r="B34" s="353"/>
      <c r="C34" s="367"/>
      <c r="D34" s="354"/>
      <c r="E34" s="354"/>
      <c r="F34" s="355"/>
    </row>
    <row r="35" spans="1:11" ht="14.25" thickTop="1" thickBot="1">
      <c r="A35" s="369" t="s">
        <v>323</v>
      </c>
      <c r="B35" s="370"/>
      <c r="C35" s="371"/>
      <c r="D35" s="372">
        <f>D26+D28</f>
        <v>14512</v>
      </c>
      <c r="E35" s="372">
        <f>E26+E28</f>
        <v>13708</v>
      </c>
      <c r="F35" s="372">
        <f>F26+F28</f>
        <v>-804</v>
      </c>
      <c r="H35" s="591"/>
      <c r="I35" s="591"/>
      <c r="J35" s="591"/>
      <c r="K35" s="591"/>
    </row>
    <row r="36" spans="1:11" ht="13.5" thickTop="1">
      <c r="A36" s="373"/>
      <c r="B36" s="374"/>
      <c r="C36" s="375"/>
      <c r="D36" s="376"/>
      <c r="E36" s="376"/>
      <c r="F36" s="377"/>
    </row>
    <row r="37" spans="1:11">
      <c r="A37" s="378" t="s">
        <v>67</v>
      </c>
      <c r="B37" s="379"/>
      <c r="C37" s="352"/>
      <c r="D37" s="346"/>
      <c r="E37" s="346"/>
      <c r="F37" s="347"/>
    </row>
    <row r="38" spans="1:11">
      <c r="A38" s="348">
        <v>1</v>
      </c>
      <c r="B38" s="379"/>
      <c r="C38" s="350" t="s">
        <v>324</v>
      </c>
      <c r="D38" s="346"/>
      <c r="E38" s="346"/>
      <c r="F38" s="347"/>
      <c r="H38" s="591"/>
    </row>
    <row r="39" spans="1:11">
      <c r="A39" s="348">
        <v>2</v>
      </c>
      <c r="B39" s="353"/>
      <c r="C39" s="350" t="s">
        <v>68</v>
      </c>
      <c r="D39" s="354"/>
      <c r="E39" s="354"/>
      <c r="F39" s="355"/>
      <c r="H39" s="591"/>
    </row>
    <row r="40" spans="1:11">
      <c r="A40" s="348">
        <v>3</v>
      </c>
      <c r="B40" s="353"/>
      <c r="C40" s="350" t="s">
        <v>69</v>
      </c>
      <c r="D40" s="354"/>
      <c r="E40" s="354"/>
      <c r="F40" s="355"/>
    </row>
    <row r="41" spans="1:11">
      <c r="A41" s="362"/>
      <c r="B41" s="353"/>
      <c r="C41" s="166" t="s">
        <v>70</v>
      </c>
      <c r="D41" s="354"/>
      <c r="E41" s="354"/>
      <c r="F41" s="355"/>
    </row>
    <row r="42" spans="1:11">
      <c r="A42" s="380"/>
      <c r="B42" s="353"/>
      <c r="C42" s="381"/>
      <c r="D42" s="354"/>
      <c r="E42" s="354"/>
      <c r="F42" s="355"/>
      <c r="I42" s="274"/>
      <c r="J42" s="274"/>
    </row>
    <row r="43" spans="1:11">
      <c r="A43" s="382" t="s">
        <v>71</v>
      </c>
      <c r="B43" s="383"/>
      <c r="C43" s="345"/>
      <c r="D43" s="354"/>
      <c r="E43" s="354"/>
      <c r="F43" s="355"/>
      <c r="I43" s="274"/>
      <c r="J43" s="274"/>
    </row>
    <row r="44" spans="1:11">
      <c r="A44" s="380"/>
      <c r="B44" s="384"/>
      <c r="C44" s="350" t="s">
        <v>72</v>
      </c>
      <c r="D44" s="354"/>
      <c r="E44" s="354"/>
      <c r="F44" s="355"/>
      <c r="I44" s="274"/>
      <c r="J44" s="274"/>
    </row>
    <row r="45" spans="1:11" ht="13.5" thickBot="1">
      <c r="A45" s="385"/>
      <c r="B45" s="386"/>
      <c r="C45" s="387" t="s">
        <v>73</v>
      </c>
      <c r="D45" s="388"/>
      <c r="E45" s="388"/>
      <c r="F45" s="389"/>
      <c r="I45" s="433"/>
      <c r="J45" s="433"/>
    </row>
    <row r="46" spans="1:11" ht="13.5" thickTop="1">
      <c r="A46" s="390"/>
      <c r="B46" s="391"/>
      <c r="C46" s="392"/>
      <c r="D46" s="393"/>
      <c r="E46" s="393"/>
      <c r="F46" s="393"/>
    </row>
    <row r="47" spans="1:11">
      <c r="A47" s="336"/>
      <c r="B47" s="337"/>
      <c r="C47" s="335"/>
      <c r="D47" s="335"/>
      <c r="E47" s="335"/>
      <c r="F47" s="335"/>
    </row>
    <row r="48" spans="1:11">
      <c r="A48" s="162" t="s">
        <v>34</v>
      </c>
      <c r="B48" s="52"/>
      <c r="C48" s="394"/>
      <c r="D48" s="165" t="s">
        <v>35</v>
      </c>
      <c r="E48" s="394"/>
      <c r="F48" s="335"/>
    </row>
    <row r="49" spans="1:9">
      <c r="A49" s="395"/>
      <c r="B49" s="52"/>
      <c r="C49" s="164" t="s">
        <v>36</v>
      </c>
      <c r="D49" s="335"/>
      <c r="E49" s="335"/>
      <c r="F49" s="335"/>
      <c r="I49" s="541"/>
    </row>
    <row r="50" spans="1:9">
      <c r="A50" s="337"/>
      <c r="B50" s="16"/>
      <c r="C50" s="335"/>
      <c r="D50" s="335"/>
      <c r="E50" s="335"/>
      <c r="F50" s="335"/>
    </row>
    <row r="51" spans="1:9">
      <c r="A51" s="163" t="s">
        <v>37</v>
      </c>
      <c r="B51" s="53"/>
      <c r="C51" s="394"/>
      <c r="D51" s="165" t="s">
        <v>35</v>
      </c>
      <c r="E51" s="394"/>
      <c r="F51" s="335"/>
    </row>
    <row r="52" spans="1:9">
      <c r="A52" s="53"/>
      <c r="B52" s="53"/>
      <c r="C52" s="164" t="s">
        <v>36</v>
      </c>
      <c r="D52" s="335"/>
      <c r="E52" s="335"/>
      <c r="F52" s="335"/>
    </row>
    <row r="53" spans="1:9">
      <c r="A53" s="47"/>
      <c r="B53" s="1"/>
    </row>
    <row r="54" spans="1:9">
      <c r="A54" s="88"/>
      <c r="B54" s="1"/>
    </row>
  </sheetData>
  <mergeCells count="12">
    <mergeCell ref="A2:F2"/>
    <mergeCell ref="A1:F1"/>
    <mergeCell ref="B6:C6"/>
    <mergeCell ref="B7:C7"/>
    <mergeCell ref="A3:F3"/>
    <mergeCell ref="A4:F4"/>
    <mergeCell ref="B17:C17"/>
    <mergeCell ref="B26:C26"/>
    <mergeCell ref="B8:C8"/>
    <mergeCell ref="B9:C9"/>
    <mergeCell ref="B10:C10"/>
    <mergeCell ref="B11:C11"/>
  </mergeCells>
  <phoneticPr fontId="2" type="noConversion"/>
  <printOptions horizontalCentered="1"/>
  <pageMargins left="0.17" right="0.25" top="0.46" bottom="0.28999999999999998" header="0.5" footer="0.5"/>
  <pageSetup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workbookViewId="0">
      <selection activeCell="G6" sqref="G6:O30"/>
    </sheetView>
  </sheetViews>
  <sheetFormatPr defaultRowHeight="12.75"/>
  <cols>
    <col min="1" max="1" width="9.42578125" style="433" customWidth="1"/>
    <col min="2" max="2" width="38.28515625" style="433" customWidth="1"/>
    <col min="3" max="3" width="13.7109375" style="433" customWidth="1"/>
    <col min="4" max="4" width="12.28515625" style="433" customWidth="1"/>
    <col min="5" max="5" width="15.5703125" style="433" customWidth="1"/>
    <col min="6" max="16384" width="9.140625" style="433"/>
  </cols>
  <sheetData>
    <row r="1" spans="1:13" s="274" customFormat="1">
      <c r="A1" s="396"/>
      <c r="B1" s="636" t="s">
        <v>420</v>
      </c>
      <c r="C1" s="636"/>
      <c r="D1" s="636"/>
      <c r="E1" s="636"/>
    </row>
    <row r="2" spans="1:13" s="274" customFormat="1">
      <c r="B2" s="636" t="s">
        <v>470</v>
      </c>
      <c r="C2" s="636"/>
      <c r="D2" s="636"/>
      <c r="E2" s="636"/>
    </row>
    <row r="3" spans="1:13" s="274" customFormat="1">
      <c r="A3" s="636" t="s">
        <v>405</v>
      </c>
      <c r="B3" s="655"/>
      <c r="C3" s="655"/>
      <c r="D3" s="655"/>
      <c r="E3" s="655"/>
    </row>
    <row r="4" spans="1:13" s="274" customFormat="1">
      <c r="A4" s="636" t="s">
        <v>311</v>
      </c>
      <c r="B4" s="655"/>
      <c r="C4" s="655"/>
      <c r="D4" s="655"/>
      <c r="E4" s="655"/>
    </row>
    <row r="5" spans="1:13" s="274" customFormat="1"/>
    <row r="6" spans="1:13" s="400" customFormat="1" ht="13.5" thickBot="1">
      <c r="A6" s="274"/>
      <c r="B6" s="141"/>
      <c r="C6" s="397"/>
      <c r="D6" s="398"/>
      <c r="E6" s="399" t="s">
        <v>277</v>
      </c>
    </row>
    <row r="7" spans="1:13" s="274" customFormat="1" ht="13.5" thickTop="1">
      <c r="A7" s="401" t="s">
        <v>25</v>
      </c>
      <c r="B7" s="402" t="s">
        <v>38</v>
      </c>
      <c r="C7" s="403" t="s">
        <v>39</v>
      </c>
      <c r="D7" s="404" t="s">
        <v>40</v>
      </c>
      <c r="E7" s="405" t="s">
        <v>41</v>
      </c>
    </row>
    <row r="8" spans="1:13" s="274" customFormat="1" ht="13.5" thickBot="1">
      <c r="A8" s="406" t="s">
        <v>28</v>
      </c>
      <c r="B8" s="407"/>
      <c r="C8" s="403" t="s">
        <v>42</v>
      </c>
      <c r="D8" s="404" t="s">
        <v>43</v>
      </c>
      <c r="E8" s="405" t="s">
        <v>42</v>
      </c>
      <c r="G8" s="396"/>
      <c r="K8" s="396"/>
    </row>
    <row r="9" spans="1:13" s="274" customFormat="1" ht="13.5" thickTop="1">
      <c r="A9" s="408"/>
      <c r="B9" s="409" t="s">
        <v>44</v>
      </c>
      <c r="C9" s="410"/>
      <c r="D9" s="411"/>
      <c r="E9" s="412"/>
    </row>
    <row r="10" spans="1:13" s="274" customFormat="1">
      <c r="A10" s="413">
        <v>201</v>
      </c>
      <c r="B10" s="414" t="s">
        <v>312</v>
      </c>
      <c r="C10" s="586">
        <v>1875</v>
      </c>
      <c r="D10" s="587">
        <v>0</v>
      </c>
      <c r="E10" s="517">
        <f>C10-D10</f>
        <v>1875</v>
      </c>
      <c r="K10" s="556"/>
      <c r="L10" s="556"/>
      <c r="M10" s="556"/>
    </row>
    <row r="11" spans="1:13" s="274" customFormat="1">
      <c r="A11" s="413">
        <v>202</v>
      </c>
      <c r="B11" s="414" t="s">
        <v>45</v>
      </c>
      <c r="C11" s="586">
        <f>2558+88+1499</f>
        <v>4145</v>
      </c>
      <c r="D11" s="587">
        <f>2052+88+682</f>
        <v>2822</v>
      </c>
      <c r="E11" s="517">
        <f t="shared" ref="E11:E18" si="0">C11-D11</f>
        <v>1323</v>
      </c>
      <c r="K11" s="556"/>
      <c r="L11" s="556"/>
      <c r="M11" s="556"/>
    </row>
    <row r="12" spans="1:13" s="274" customFormat="1">
      <c r="A12" s="413">
        <v>203</v>
      </c>
      <c r="B12" s="414" t="s">
        <v>313</v>
      </c>
      <c r="C12" s="586">
        <f>4767+1575+45</f>
        <v>6387</v>
      </c>
      <c r="D12" s="587">
        <f>4104+1517+45</f>
        <v>5666</v>
      </c>
      <c r="E12" s="517">
        <f t="shared" si="0"/>
        <v>721</v>
      </c>
      <c r="K12" s="556"/>
      <c r="L12" s="556"/>
      <c r="M12" s="556"/>
    </row>
    <row r="13" spans="1:13" s="274" customFormat="1">
      <c r="A13" s="413">
        <v>204</v>
      </c>
      <c r="B13" s="414" t="s">
        <v>263</v>
      </c>
      <c r="C13" s="586">
        <f>10692+598+3</f>
        <v>11293</v>
      </c>
      <c r="D13" s="587">
        <f>3061+402+2</f>
        <v>3465</v>
      </c>
      <c r="E13" s="517">
        <f t="shared" si="0"/>
        <v>7828</v>
      </c>
      <c r="K13" s="556"/>
      <c r="L13" s="556"/>
      <c r="M13" s="556"/>
    </row>
    <row r="14" spans="1:13" s="274" customFormat="1">
      <c r="A14" s="413">
        <v>205</v>
      </c>
      <c r="B14" s="414" t="s">
        <v>58</v>
      </c>
      <c r="C14" s="586">
        <f>416+19</f>
        <v>435</v>
      </c>
      <c r="D14" s="587">
        <f>321+13</f>
        <v>334</v>
      </c>
      <c r="E14" s="517">
        <f t="shared" si="0"/>
        <v>101</v>
      </c>
      <c r="K14" s="556"/>
      <c r="L14" s="556"/>
      <c r="M14" s="556"/>
    </row>
    <row r="15" spans="1:13" s="274" customFormat="1">
      <c r="A15" s="413">
        <v>206</v>
      </c>
      <c r="B15" s="414" t="s">
        <v>393</v>
      </c>
      <c r="C15" s="586">
        <v>139</v>
      </c>
      <c r="D15" s="587">
        <v>125</v>
      </c>
      <c r="E15" s="517">
        <f t="shared" si="0"/>
        <v>14</v>
      </c>
      <c r="K15" s="556"/>
      <c r="L15" s="556"/>
      <c r="M15" s="556"/>
    </row>
    <row r="16" spans="1:13" s="274" customFormat="1">
      <c r="A16" s="413">
        <v>207</v>
      </c>
      <c r="B16" s="414" t="s">
        <v>388</v>
      </c>
      <c r="C16" s="586">
        <v>47</v>
      </c>
      <c r="D16" s="587">
        <v>47</v>
      </c>
      <c r="E16" s="517">
        <f t="shared" si="0"/>
        <v>0</v>
      </c>
      <c r="K16" s="556"/>
      <c r="L16" s="556"/>
      <c r="M16" s="556"/>
    </row>
    <row r="17" spans="1:14" s="274" customFormat="1">
      <c r="A17" s="413">
        <v>209</v>
      </c>
      <c r="B17" s="414" t="s">
        <v>60</v>
      </c>
      <c r="C17" s="415"/>
      <c r="D17" s="416"/>
      <c r="E17" s="517">
        <f t="shared" si="0"/>
        <v>0</v>
      </c>
      <c r="K17" s="556"/>
      <c r="L17" s="556"/>
      <c r="M17" s="556"/>
    </row>
    <row r="18" spans="1:14" s="274" customFormat="1">
      <c r="A18" s="418"/>
      <c r="B18" s="419" t="s">
        <v>316</v>
      </c>
      <c r="C18" s="420">
        <f>SUM(C10:C17)</f>
        <v>24321</v>
      </c>
      <c r="D18" s="420">
        <f>SUM(D10:D17)</f>
        <v>12459</v>
      </c>
      <c r="E18" s="517">
        <f t="shared" si="0"/>
        <v>11862</v>
      </c>
      <c r="K18" s="556"/>
      <c r="L18" s="556"/>
      <c r="M18" s="556"/>
    </row>
    <row r="19" spans="1:14" s="274" customFormat="1">
      <c r="A19" s="418"/>
      <c r="B19" s="419" t="s">
        <v>315</v>
      </c>
      <c r="C19" s="421"/>
      <c r="D19" s="416"/>
      <c r="E19" s="417"/>
    </row>
    <row r="20" spans="1:14" s="274" customFormat="1">
      <c r="A20" s="413">
        <v>201</v>
      </c>
      <c r="B20" s="414" t="s">
        <v>312</v>
      </c>
      <c r="C20" s="592"/>
      <c r="D20" s="593"/>
      <c r="E20" s="594"/>
    </row>
    <row r="21" spans="1:14" s="274" customFormat="1">
      <c r="A21" s="413">
        <v>202</v>
      </c>
      <c r="B21" s="414" t="s">
        <v>45</v>
      </c>
      <c r="C21" s="595">
        <v>242</v>
      </c>
      <c r="D21" s="596">
        <v>113</v>
      </c>
      <c r="E21" s="597">
        <f>C21-D21</f>
        <v>129</v>
      </c>
      <c r="K21" s="556"/>
      <c r="L21" s="556"/>
      <c r="M21" s="556"/>
    </row>
    <row r="22" spans="1:14" s="274" customFormat="1">
      <c r="A22" s="413">
        <v>205</v>
      </c>
      <c r="B22" s="414" t="s">
        <v>58</v>
      </c>
      <c r="C22" s="592">
        <v>9</v>
      </c>
      <c r="D22" s="593">
        <v>9</v>
      </c>
      <c r="E22" s="597">
        <f>C22-D22</f>
        <v>0</v>
      </c>
      <c r="K22" s="556"/>
      <c r="L22" s="556"/>
      <c r="M22" s="556"/>
    </row>
    <row r="23" spans="1:14" s="274" customFormat="1">
      <c r="A23" s="413">
        <v>206</v>
      </c>
      <c r="B23" s="414" t="s">
        <v>393</v>
      </c>
      <c r="C23" s="592"/>
      <c r="D23" s="593"/>
      <c r="E23" s="597">
        <f t="shared" ref="E23:E25" si="1">C23-D23</f>
        <v>0</v>
      </c>
      <c r="K23" s="556"/>
      <c r="L23" s="556"/>
      <c r="M23" s="556"/>
    </row>
    <row r="24" spans="1:14" s="274" customFormat="1">
      <c r="A24" s="413">
        <v>207</v>
      </c>
      <c r="B24" s="414" t="s">
        <v>388</v>
      </c>
      <c r="C24" s="592">
        <v>88</v>
      </c>
      <c r="D24" s="593">
        <v>87</v>
      </c>
      <c r="E24" s="597">
        <f t="shared" si="1"/>
        <v>1</v>
      </c>
      <c r="K24" s="556"/>
      <c r="L24" s="556"/>
      <c r="M24" s="556"/>
    </row>
    <row r="25" spans="1:14" s="274" customFormat="1">
      <c r="A25" s="413">
        <v>209</v>
      </c>
      <c r="B25" s="414" t="s">
        <v>60</v>
      </c>
      <c r="C25" s="592">
        <v>37</v>
      </c>
      <c r="D25" s="593">
        <v>36</v>
      </c>
      <c r="E25" s="597">
        <f t="shared" si="1"/>
        <v>1</v>
      </c>
      <c r="K25" s="556"/>
      <c r="L25" s="556"/>
      <c r="M25" s="556"/>
    </row>
    <row r="26" spans="1:14" s="274" customFormat="1" ht="13.5" thickBot="1">
      <c r="A26" s="422"/>
      <c r="B26" s="423" t="s">
        <v>317</v>
      </c>
      <c r="C26" s="598">
        <f>SUM(C21:C25)</f>
        <v>376</v>
      </c>
      <c r="D26" s="598">
        <f>SUM(D21:D25)</f>
        <v>245</v>
      </c>
      <c r="E26" s="597">
        <f>C26-D26</f>
        <v>131</v>
      </c>
      <c r="K26" s="556"/>
      <c r="L26" s="556"/>
      <c r="M26" s="556"/>
    </row>
    <row r="27" spans="1:14" s="274" customFormat="1" ht="15.75" thickTop="1" thickBot="1">
      <c r="A27" s="653" t="s">
        <v>318</v>
      </c>
      <c r="B27" s="654"/>
      <c r="C27" s="426">
        <f>C18+C26</f>
        <v>24697</v>
      </c>
      <c r="D27" s="426">
        <f>D18+D26</f>
        <v>12704</v>
      </c>
      <c r="E27" s="518">
        <f>SUM(E18,E26)</f>
        <v>11993</v>
      </c>
      <c r="G27" s="591"/>
      <c r="H27" s="591"/>
      <c r="I27" s="591"/>
      <c r="J27" s="591"/>
      <c r="K27" s="591"/>
      <c r="L27" s="591"/>
      <c r="M27" s="591"/>
      <c r="N27" s="591"/>
    </row>
    <row r="28" spans="1:14" s="274" customFormat="1" ht="13.5" thickTop="1">
      <c r="A28" s="428"/>
      <c r="B28" s="428"/>
      <c r="C28" s="428"/>
      <c r="D28" s="428"/>
      <c r="E28" s="428"/>
    </row>
    <row r="29" spans="1:14" s="274" customFormat="1"/>
    <row r="30" spans="1:14" s="274" customFormat="1">
      <c r="A30" s="429" t="s">
        <v>34</v>
      </c>
      <c r="B30" s="47"/>
      <c r="C30" s="2"/>
      <c r="D30" s="2"/>
    </row>
    <row r="31" spans="1:14" s="274" customFormat="1">
      <c r="A31" s="430"/>
      <c r="B31" s="47"/>
      <c r="C31" s="2"/>
      <c r="D31" s="2"/>
    </row>
    <row r="32" spans="1:14" s="274" customFormat="1">
      <c r="A32" s="47"/>
      <c r="B32" s="48"/>
      <c r="C32" s="431" t="s">
        <v>46</v>
      </c>
      <c r="D32" s="48"/>
    </row>
    <row r="33" spans="1:4">
      <c r="A33" s="332"/>
      <c r="B33" s="432" t="s">
        <v>36</v>
      </c>
    </row>
    <row r="34" spans="1:4">
      <c r="A34" s="434"/>
      <c r="B34" s="435"/>
    </row>
    <row r="35" spans="1:4" s="274" customFormat="1">
      <c r="A35" s="436" t="s">
        <v>47</v>
      </c>
      <c r="B35" s="2"/>
      <c r="C35" s="2"/>
      <c r="D35" s="2"/>
    </row>
    <row r="36" spans="1:4" s="274" customFormat="1">
      <c r="A36" s="2"/>
      <c r="B36" s="2"/>
      <c r="C36" s="2"/>
      <c r="D36" s="2"/>
    </row>
    <row r="37" spans="1:4" s="274" customFormat="1">
      <c r="A37" s="47"/>
      <c r="B37" s="48"/>
      <c r="C37" s="431" t="s">
        <v>35</v>
      </c>
      <c r="D37" s="48"/>
    </row>
    <row r="38" spans="1:4">
      <c r="A38" s="88"/>
      <c r="B38" s="432" t="s">
        <v>36</v>
      </c>
    </row>
  </sheetData>
  <mergeCells count="5">
    <mergeCell ref="A27:B27"/>
    <mergeCell ref="B1:E1"/>
    <mergeCell ref="B2:E2"/>
    <mergeCell ref="A3:E3"/>
    <mergeCell ref="A4:E4"/>
  </mergeCells>
  <phoneticPr fontId="2" type="noConversion"/>
  <printOptions horizontalCentered="1"/>
  <pageMargins left="0.75" right="0.44" top="0.6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18</vt:i4>
      </vt:variant>
      <vt:variant>
        <vt:lpstr>Наименувани диапазони</vt:lpstr>
      </vt:variant>
      <vt:variant>
        <vt:i4>17</vt:i4>
      </vt:variant>
    </vt:vector>
  </HeadingPairs>
  <TitlesOfParts>
    <vt:vector size="35" baseType="lpstr">
      <vt:lpstr>TOC</vt:lpstr>
      <vt:lpstr>1</vt:lpstr>
      <vt:lpstr>2</vt:lpstr>
      <vt:lpstr>3_A</vt:lpstr>
      <vt:lpstr>612</vt:lpstr>
      <vt:lpstr>3_Б</vt:lpstr>
      <vt:lpstr>3_В</vt:lpstr>
      <vt:lpstr>4_A</vt:lpstr>
      <vt:lpstr>4_Б</vt:lpstr>
      <vt:lpstr>нерег.дейн.и Нмда</vt:lpstr>
      <vt:lpstr>4_B</vt:lpstr>
      <vt:lpstr>4_Г</vt:lpstr>
      <vt:lpstr>4_Д</vt:lpstr>
      <vt:lpstr>4-Е</vt:lpstr>
      <vt:lpstr>5</vt:lpstr>
      <vt:lpstr>6</vt:lpstr>
      <vt:lpstr>7</vt:lpstr>
      <vt:lpstr>8</vt:lpstr>
      <vt:lpstr>'1'!Print_Area</vt:lpstr>
      <vt:lpstr>'2'!Print_Area</vt:lpstr>
      <vt:lpstr>'3_A'!Print_Area</vt:lpstr>
      <vt:lpstr>'3_Б'!Print_Area</vt:lpstr>
      <vt:lpstr>'3_В'!Print_Area</vt:lpstr>
      <vt:lpstr>'4_A'!Print_Area</vt:lpstr>
      <vt:lpstr>'4_B'!Print_Area</vt:lpstr>
      <vt:lpstr>'4_Б'!Print_Area</vt:lpstr>
      <vt:lpstr>'4_Г'!Print_Area</vt:lpstr>
      <vt:lpstr>'4_Д'!Print_Area</vt:lpstr>
      <vt:lpstr>'4-Е'!Print_Area</vt:lpstr>
      <vt:lpstr>'5'!Print_Area</vt:lpstr>
      <vt:lpstr>'6'!Print_Area</vt:lpstr>
      <vt:lpstr>'7'!Print_Area</vt:lpstr>
      <vt:lpstr>'8'!Print_Area</vt:lpstr>
      <vt:lpstr>TOC!Print_Area</vt:lpstr>
      <vt:lpstr>'нерег.дейн.и Нмда'!Print_Area</vt:lpstr>
    </vt:vector>
  </TitlesOfParts>
  <Company>E.M.C.S.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 N. Hutchinson</dc:creator>
  <cp:lastModifiedBy>nina</cp:lastModifiedBy>
  <cp:lastPrinted>2016-03-29T13:21:05Z</cp:lastPrinted>
  <dcterms:created xsi:type="dcterms:W3CDTF">2004-03-01T12:27:44Z</dcterms:created>
  <dcterms:modified xsi:type="dcterms:W3CDTF">2016-03-31T11:03:30Z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1589780307</vt:i4>
  </property>
  <property fmtid="{D5CDD505-2E9C-101B-9397-08002B2CF9AE}" pid="3" name="_EmailSubject">
    <vt:lpwstr>Changes in the chart of accounts</vt:lpwstr>
  </property>
  <property fmtid="{D5CDD505-2E9C-101B-9397-08002B2CF9AE}" pid="4" name="_AuthorEmail">
    <vt:lpwstr>mjdelphia@pierceatwood.bg</vt:lpwstr>
  </property>
  <property fmtid="{D5CDD505-2E9C-101B-9397-08002B2CF9AE}" pid="5" name="_AuthorEmailDisplayName">
    <vt:lpwstr>Michael Jake Delphia</vt:lpwstr>
  </property>
  <property fmtid="{D5CDD505-2E9C-101B-9397-08002B2CF9AE}" pid="6" name="_ReviewingToolsShownOnce">
    <vt:lpwstr/>
  </property>
</Properties>
</file>